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15\GPL2027 Anderson\Final PDFs\"/>
    </mc:Choice>
  </mc:AlternateContent>
  <xr:revisionPtr revIDLastSave="0" documentId="13_ncr:1_{410A842D-3D72-4459-8430-EACBA679A89D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Table S-1a" sheetId="9" r:id="rId1"/>
    <sheet name="Table S-1b" sheetId="11" r:id="rId2"/>
    <sheet name="Table S-1c" sheetId="10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85" i="10" l="1"/>
  <c r="Z185" i="10"/>
  <c r="AB185" i="10"/>
  <c r="AC185" i="10"/>
  <c r="O185" i="10"/>
  <c r="Y175" i="10"/>
  <c r="Z175" i="10"/>
  <c r="AB175" i="10"/>
  <c r="AC175" i="10"/>
  <c r="O175" i="10"/>
  <c r="Y176" i="10"/>
  <c r="Z176" i="10"/>
  <c r="AB176" i="10"/>
  <c r="AC176" i="10"/>
  <c r="Y177" i="10"/>
  <c r="Z177" i="10"/>
  <c r="AB177" i="10"/>
  <c r="AC177" i="10"/>
  <c r="O177" i="10"/>
  <c r="Y178" i="10"/>
  <c r="Z178" i="10"/>
  <c r="AB178" i="10"/>
  <c r="Y180" i="10"/>
  <c r="Z180" i="10"/>
  <c r="AB180" i="10"/>
  <c r="AC180" i="10"/>
  <c r="P180" i="10"/>
  <c r="Q180" i="10"/>
  <c r="Y181" i="10"/>
  <c r="Z181" i="10"/>
  <c r="AB181" i="10"/>
  <c r="AC181" i="10"/>
  <c r="O181" i="10"/>
  <c r="Y182" i="10"/>
  <c r="Z182" i="10"/>
  <c r="AB182" i="10"/>
  <c r="AC182" i="10"/>
  <c r="O182" i="10"/>
  <c r="Y183" i="10"/>
  <c r="Z183" i="10"/>
  <c r="AB183" i="10"/>
  <c r="AC183" i="10"/>
  <c r="O183" i="10"/>
  <c r="Y184" i="10"/>
  <c r="Z184" i="10"/>
  <c r="AB184" i="10"/>
  <c r="AC184" i="10"/>
  <c r="R175" i="10"/>
  <c r="S175" i="10"/>
  <c r="V175" i="10"/>
  <c r="W175" i="10"/>
  <c r="R176" i="10"/>
  <c r="S176" i="10"/>
  <c r="V176" i="10"/>
  <c r="W176" i="10"/>
  <c r="R177" i="10"/>
  <c r="S177" i="10"/>
  <c r="V177" i="10"/>
  <c r="W177" i="10"/>
  <c r="R178" i="10"/>
  <c r="S178" i="10"/>
  <c r="V178" i="10"/>
  <c r="W178" i="10"/>
  <c r="R180" i="10"/>
  <c r="S180" i="10"/>
  <c r="V180" i="10"/>
  <c r="W180" i="10"/>
  <c r="R181" i="10"/>
  <c r="S181" i="10"/>
  <c r="V181" i="10"/>
  <c r="W181" i="10"/>
  <c r="R182" i="10"/>
  <c r="S182" i="10"/>
  <c r="V182" i="10"/>
  <c r="W182" i="10"/>
  <c r="R183" i="10"/>
  <c r="S183" i="10"/>
  <c r="V183" i="10"/>
  <c r="W183" i="10"/>
  <c r="R184" i="10"/>
  <c r="S184" i="10"/>
  <c r="T184" i="10"/>
  <c r="V184" i="10"/>
  <c r="W184" i="10"/>
  <c r="R185" i="10"/>
  <c r="S185" i="10"/>
  <c r="V185" i="10"/>
  <c r="W185" i="10"/>
  <c r="V174" i="10"/>
  <c r="R173" i="10"/>
  <c r="Z171" i="10"/>
  <c r="Y170" i="10"/>
  <c r="Y169" i="10"/>
  <c r="R166" i="10"/>
  <c r="V165" i="10"/>
  <c r="V162" i="10"/>
  <c r="Z161" i="10"/>
  <c r="V159" i="10"/>
  <c r="Z158" i="10"/>
  <c r="Z157" i="10"/>
  <c r="Z155" i="10"/>
  <c r="Z154" i="10"/>
  <c r="Y153" i="10"/>
  <c r="V150" i="10"/>
  <c r="Y149" i="10"/>
  <c r="Y174" i="10"/>
  <c r="V173" i="10"/>
  <c r="V166" i="10"/>
  <c r="V163" i="10"/>
  <c r="Z162" i="10"/>
  <c r="Y161" i="10"/>
  <c r="V155" i="10"/>
  <c r="V151" i="10"/>
  <c r="Z150" i="10"/>
  <c r="AB174" i="10"/>
  <c r="AC174" i="10"/>
  <c r="O174" i="10"/>
  <c r="Z174" i="10"/>
  <c r="W174" i="10"/>
  <c r="S174" i="10"/>
  <c r="AB173" i="10"/>
  <c r="Y173" i="10"/>
  <c r="W173" i="10"/>
  <c r="S173" i="10"/>
  <c r="AB172" i="10"/>
  <c r="Z172" i="10"/>
  <c r="Y172" i="10"/>
  <c r="W172" i="10"/>
  <c r="V172" i="10"/>
  <c r="S172" i="10"/>
  <c r="R172" i="10"/>
  <c r="AB171" i="10"/>
  <c r="Y171" i="10"/>
  <c r="W171" i="10"/>
  <c r="V171" i="10"/>
  <c r="S171" i="10"/>
  <c r="R171" i="10"/>
  <c r="AB170" i="10"/>
  <c r="W170" i="10"/>
  <c r="V170" i="10"/>
  <c r="S170" i="10"/>
  <c r="AB169" i="10"/>
  <c r="AC169" i="10"/>
  <c r="O169" i="10"/>
  <c r="Z169" i="10"/>
  <c r="W169" i="10"/>
  <c r="S169" i="10"/>
  <c r="AB168" i="10"/>
  <c r="Z168" i="10"/>
  <c r="Y168" i="10"/>
  <c r="W168" i="10"/>
  <c r="V168" i="10"/>
  <c r="S168" i="10"/>
  <c r="R168" i="10"/>
  <c r="AB167" i="10"/>
  <c r="AC167" i="10"/>
  <c r="O167" i="10"/>
  <c r="Z167" i="10"/>
  <c r="Y167" i="10"/>
  <c r="W167" i="10"/>
  <c r="V167" i="10"/>
  <c r="S167" i="10"/>
  <c r="R167" i="10"/>
  <c r="AB166" i="10"/>
  <c r="AC166" i="10"/>
  <c r="O166" i="10"/>
  <c r="W166" i="10"/>
  <c r="S166" i="10"/>
  <c r="AB165" i="10"/>
  <c r="AC165" i="10"/>
  <c r="O165" i="10"/>
  <c r="W165" i="10"/>
  <c r="S165" i="10"/>
  <c r="AB164" i="10"/>
  <c r="AC164" i="10"/>
  <c r="O164" i="10"/>
  <c r="Z164" i="10"/>
  <c r="Y164" i="10"/>
  <c r="W164" i="10"/>
  <c r="V164" i="10"/>
  <c r="S164" i="10"/>
  <c r="R164" i="10"/>
  <c r="AB163" i="10"/>
  <c r="Z163" i="10"/>
  <c r="Y163" i="10"/>
  <c r="W163" i="10"/>
  <c r="S163" i="10"/>
  <c r="R163" i="10"/>
  <c r="AB162" i="10"/>
  <c r="AC162" i="10"/>
  <c r="O162" i="10"/>
  <c r="W162" i="10"/>
  <c r="S162" i="10"/>
  <c r="AB161" i="10"/>
  <c r="W161" i="10"/>
  <c r="S161" i="10"/>
  <c r="AB160" i="10"/>
  <c r="AC160" i="10"/>
  <c r="O160" i="10"/>
  <c r="Z160" i="10"/>
  <c r="Y160" i="10"/>
  <c r="W160" i="10"/>
  <c r="V160" i="10"/>
  <c r="S160" i="10"/>
  <c r="R160" i="10"/>
  <c r="AB159" i="10"/>
  <c r="Z159" i="10"/>
  <c r="W159" i="10"/>
  <c r="S159" i="10"/>
  <c r="R159" i="10"/>
  <c r="AB158" i="10"/>
  <c r="AC158" i="10"/>
  <c r="O158" i="10"/>
  <c r="W158" i="10"/>
  <c r="V158" i="10"/>
  <c r="S158" i="10"/>
  <c r="AB157" i="10"/>
  <c r="W157" i="10"/>
  <c r="S157" i="10"/>
  <c r="AB156" i="10"/>
  <c r="AC156" i="10"/>
  <c r="O156" i="10"/>
  <c r="Z156" i="10"/>
  <c r="Y156" i="10"/>
  <c r="W156" i="10"/>
  <c r="V156" i="10"/>
  <c r="S156" i="10"/>
  <c r="R156" i="10"/>
  <c r="AB155" i="10"/>
  <c r="Y155" i="10"/>
  <c r="W155" i="10"/>
  <c r="S155" i="10"/>
  <c r="AB154" i="10"/>
  <c r="AC154" i="10"/>
  <c r="O154" i="10"/>
  <c r="W154" i="10"/>
  <c r="V154" i="10"/>
  <c r="S154" i="10"/>
  <c r="AB153" i="10"/>
  <c r="W153" i="10"/>
  <c r="S153" i="10"/>
  <c r="AB152" i="10"/>
  <c r="AC152" i="10"/>
  <c r="O152" i="10"/>
  <c r="Z152" i="10"/>
  <c r="Y152" i="10"/>
  <c r="W152" i="10"/>
  <c r="V152" i="10"/>
  <c r="S152" i="10"/>
  <c r="R152" i="10"/>
  <c r="AB151" i="10"/>
  <c r="Z151" i="10"/>
  <c r="Y151" i="10"/>
  <c r="W151" i="10"/>
  <c r="S151" i="10"/>
  <c r="R151" i="10"/>
  <c r="AB150" i="10"/>
  <c r="AC150" i="10"/>
  <c r="O150" i="10"/>
  <c r="W150" i="10"/>
  <c r="S150" i="10"/>
  <c r="AB149" i="10"/>
  <c r="AC149" i="10"/>
  <c r="O149" i="10"/>
  <c r="Z149" i="10"/>
  <c r="W149" i="10"/>
  <c r="S149" i="10"/>
  <c r="AB148" i="10"/>
  <c r="AC148" i="10"/>
  <c r="O148" i="10"/>
  <c r="Z148" i="10"/>
  <c r="Y148" i="10"/>
  <c r="W148" i="10"/>
  <c r="V148" i="10"/>
  <c r="S148" i="10"/>
  <c r="R148" i="10"/>
  <c r="AB147" i="10"/>
  <c r="AC147" i="10"/>
  <c r="O147" i="10"/>
  <c r="Z147" i="10"/>
  <c r="Y147" i="10"/>
  <c r="W147" i="10"/>
  <c r="V147" i="10"/>
  <c r="S147" i="10"/>
  <c r="R147" i="10"/>
  <c r="Y129" i="10"/>
  <c r="Z129" i="10"/>
  <c r="AB129" i="10"/>
  <c r="AC129" i="10"/>
  <c r="Y130" i="10"/>
  <c r="Z130" i="10"/>
  <c r="AB130" i="10"/>
  <c r="AC130" i="10"/>
  <c r="O130" i="10"/>
  <c r="R129" i="10"/>
  <c r="S129" i="10"/>
  <c r="V129" i="10"/>
  <c r="W129" i="10"/>
  <c r="R130" i="10"/>
  <c r="S130" i="10"/>
  <c r="V130" i="10"/>
  <c r="W130" i="10"/>
  <c r="AB139" i="10"/>
  <c r="AC139" i="10"/>
  <c r="O139" i="10"/>
  <c r="Z139" i="10"/>
  <c r="Y139" i="10"/>
  <c r="W139" i="10"/>
  <c r="V139" i="10"/>
  <c r="S139" i="10"/>
  <c r="R139" i="10"/>
  <c r="AB138" i="10"/>
  <c r="AC138" i="10"/>
  <c r="Z138" i="10"/>
  <c r="Y138" i="10"/>
  <c r="W138" i="10"/>
  <c r="V138" i="10"/>
  <c r="S138" i="10"/>
  <c r="R138" i="10"/>
  <c r="AB137" i="10"/>
  <c r="AC137" i="10"/>
  <c r="Z137" i="10"/>
  <c r="Y137" i="10"/>
  <c r="W137" i="10"/>
  <c r="V137" i="10"/>
  <c r="S137" i="10"/>
  <c r="R137" i="10"/>
  <c r="AB136" i="10"/>
  <c r="AC136" i="10"/>
  <c r="P136" i="10"/>
  <c r="Q136" i="10"/>
  <c r="Z136" i="10"/>
  <c r="Y136" i="10"/>
  <c r="W136" i="10"/>
  <c r="V136" i="10"/>
  <c r="S136" i="10"/>
  <c r="R136" i="10"/>
  <c r="AB135" i="10"/>
  <c r="AC135" i="10"/>
  <c r="Z135" i="10"/>
  <c r="Y135" i="10"/>
  <c r="W135" i="10"/>
  <c r="V135" i="10"/>
  <c r="S135" i="10"/>
  <c r="R135" i="10"/>
  <c r="AB134" i="10"/>
  <c r="AC134" i="10"/>
  <c r="Z134" i="10"/>
  <c r="Y134" i="10"/>
  <c r="W134" i="10"/>
  <c r="V134" i="10"/>
  <c r="S134" i="10"/>
  <c r="R134" i="10"/>
  <c r="AB133" i="10"/>
  <c r="AC133" i="10"/>
  <c r="Z133" i="10"/>
  <c r="Y133" i="10"/>
  <c r="W133" i="10"/>
  <c r="V133" i="10"/>
  <c r="S133" i="10"/>
  <c r="R133" i="10"/>
  <c r="AB132" i="10"/>
  <c r="AC132" i="10"/>
  <c r="Z132" i="10"/>
  <c r="Y132" i="10"/>
  <c r="W132" i="10"/>
  <c r="V132" i="10"/>
  <c r="S132" i="10"/>
  <c r="R132" i="10"/>
  <c r="AB131" i="10"/>
  <c r="AC131" i="10"/>
  <c r="Z131" i="10"/>
  <c r="Y131" i="10"/>
  <c r="W131" i="10"/>
  <c r="V131" i="10"/>
  <c r="S131" i="10"/>
  <c r="R131" i="10"/>
  <c r="AB128" i="10"/>
  <c r="AC128" i="10"/>
  <c r="P128" i="10"/>
  <c r="Q128" i="10"/>
  <c r="Z128" i="10"/>
  <c r="Y128" i="10"/>
  <c r="W128" i="10"/>
  <c r="V128" i="10"/>
  <c r="S128" i="10"/>
  <c r="R128" i="10"/>
  <c r="AB127" i="10"/>
  <c r="AC127" i="10"/>
  <c r="P127" i="10"/>
  <c r="Q127" i="10"/>
  <c r="Z127" i="10"/>
  <c r="Y127" i="10"/>
  <c r="W127" i="10"/>
  <c r="V127" i="10"/>
  <c r="S127" i="10"/>
  <c r="R127" i="10"/>
  <c r="AB126" i="10"/>
  <c r="AC126" i="10"/>
  <c r="Z126" i="10"/>
  <c r="Y126" i="10"/>
  <c r="W126" i="10"/>
  <c r="V126" i="10"/>
  <c r="S126" i="10"/>
  <c r="R126" i="10"/>
  <c r="AB125" i="10"/>
  <c r="AC125" i="10"/>
  <c r="Z125" i="10"/>
  <c r="Y125" i="10"/>
  <c r="W125" i="10"/>
  <c r="V125" i="10"/>
  <c r="S125" i="10"/>
  <c r="R125" i="10"/>
  <c r="AB124" i="10"/>
  <c r="AC124" i="10"/>
  <c r="O124" i="10"/>
  <c r="Z124" i="10"/>
  <c r="Y124" i="10"/>
  <c r="W124" i="10"/>
  <c r="V124" i="10"/>
  <c r="S124" i="10"/>
  <c r="R124" i="10"/>
  <c r="AB123" i="10"/>
  <c r="AC123" i="10"/>
  <c r="O123" i="10"/>
  <c r="Z123" i="10"/>
  <c r="Y123" i="10"/>
  <c r="W123" i="10"/>
  <c r="V123" i="10"/>
  <c r="S123" i="10"/>
  <c r="R123" i="10"/>
  <c r="AB122" i="10"/>
  <c r="Z122" i="10"/>
  <c r="Y122" i="10"/>
  <c r="W122" i="10"/>
  <c r="V122" i="10"/>
  <c r="S122" i="10"/>
  <c r="R122" i="10"/>
  <c r="AB121" i="10"/>
  <c r="Z121" i="10"/>
  <c r="Y121" i="10"/>
  <c r="W121" i="10"/>
  <c r="V121" i="10"/>
  <c r="S121" i="10"/>
  <c r="R121" i="10"/>
  <c r="AB120" i="10"/>
  <c r="Z120" i="10"/>
  <c r="Y120" i="10"/>
  <c r="W120" i="10"/>
  <c r="V120" i="10"/>
  <c r="S120" i="10"/>
  <c r="R120" i="10"/>
  <c r="AB119" i="10"/>
  <c r="AC119" i="10"/>
  <c r="O119" i="10"/>
  <c r="Z119" i="10"/>
  <c r="Y119" i="10"/>
  <c r="W119" i="10"/>
  <c r="V119" i="10"/>
  <c r="S119" i="10"/>
  <c r="R119" i="10"/>
  <c r="AB118" i="10"/>
  <c r="Z118" i="10"/>
  <c r="Y118" i="10"/>
  <c r="W118" i="10"/>
  <c r="V118" i="10"/>
  <c r="S118" i="10"/>
  <c r="R118" i="10"/>
  <c r="AB117" i="10"/>
  <c r="Z117" i="10"/>
  <c r="Y117" i="10"/>
  <c r="W117" i="10"/>
  <c r="V117" i="10"/>
  <c r="S117" i="10"/>
  <c r="R117" i="10"/>
  <c r="AB116" i="10"/>
  <c r="AC116" i="10"/>
  <c r="O116" i="10"/>
  <c r="Z116" i="10"/>
  <c r="Y116" i="10"/>
  <c r="W116" i="10"/>
  <c r="V116" i="10"/>
  <c r="S116" i="10"/>
  <c r="R116" i="10"/>
  <c r="AB115" i="10"/>
  <c r="AC115" i="10"/>
  <c r="O115" i="10"/>
  <c r="Z115" i="10"/>
  <c r="Y115" i="10"/>
  <c r="W115" i="10"/>
  <c r="V115" i="10"/>
  <c r="S115" i="10"/>
  <c r="R115" i="10"/>
  <c r="AB114" i="10"/>
  <c r="Z114" i="10"/>
  <c r="Y114" i="10"/>
  <c r="W114" i="10"/>
  <c r="V114" i="10"/>
  <c r="S114" i="10"/>
  <c r="R114" i="10"/>
  <c r="AB113" i="10"/>
  <c r="Z113" i="10"/>
  <c r="Y113" i="10"/>
  <c r="W113" i="10"/>
  <c r="V113" i="10"/>
  <c r="S113" i="10"/>
  <c r="R113" i="10"/>
  <c r="AB112" i="10"/>
  <c r="Z112" i="10"/>
  <c r="Y112" i="10"/>
  <c r="W112" i="10"/>
  <c r="V112" i="10"/>
  <c r="S112" i="10"/>
  <c r="R112" i="10"/>
  <c r="AB111" i="10"/>
  <c r="AC111" i="10"/>
  <c r="O111" i="10"/>
  <c r="Z111" i="10"/>
  <c r="Y111" i="10"/>
  <c r="W111" i="10"/>
  <c r="V111" i="10"/>
  <c r="S111" i="10"/>
  <c r="R111" i="10"/>
  <c r="AA131" i="10"/>
  <c r="AA139" i="10"/>
  <c r="AA176" i="10"/>
  <c r="L176" i="10"/>
  <c r="AA175" i="10"/>
  <c r="L175" i="10"/>
  <c r="AA118" i="10"/>
  <c r="L118" i="10"/>
  <c r="AA185" i="10"/>
  <c r="L185" i="10"/>
  <c r="AA135" i="10"/>
  <c r="L135" i="10"/>
  <c r="AA114" i="10"/>
  <c r="L114" i="10"/>
  <c r="AA130" i="10"/>
  <c r="L130" i="10"/>
  <c r="AA129" i="10"/>
  <c r="L129" i="10"/>
  <c r="O180" i="10"/>
  <c r="P150" i="10"/>
  <c r="Q150" i="10"/>
  <c r="T181" i="10"/>
  <c r="AA128" i="10"/>
  <c r="L128" i="10"/>
  <c r="AA134" i="10"/>
  <c r="M134" i="10"/>
  <c r="N134" i="10"/>
  <c r="T130" i="10"/>
  <c r="P184" i="10"/>
  <c r="Q184" i="10"/>
  <c r="O184" i="10"/>
  <c r="T185" i="10"/>
  <c r="T177" i="10"/>
  <c r="AA183" i="10"/>
  <c r="L183" i="10"/>
  <c r="T132" i="10"/>
  <c r="AA180" i="10"/>
  <c r="L180" i="10"/>
  <c r="AA147" i="10"/>
  <c r="M147" i="10"/>
  <c r="N147" i="10"/>
  <c r="AA167" i="10"/>
  <c r="P125" i="10"/>
  <c r="Q125" i="10"/>
  <c r="O125" i="10"/>
  <c r="T180" i="10"/>
  <c r="AA184" i="10"/>
  <c r="L184" i="10"/>
  <c r="AA115" i="10"/>
  <c r="M115" i="10"/>
  <c r="N115" i="10"/>
  <c r="AA119" i="10"/>
  <c r="L119" i="10"/>
  <c r="AA120" i="10"/>
  <c r="M120" i="10"/>
  <c r="N120" i="10"/>
  <c r="T124" i="10"/>
  <c r="AA125" i="10"/>
  <c r="L125" i="10"/>
  <c r="T176" i="10"/>
  <c r="T175" i="10"/>
  <c r="P176" i="10"/>
  <c r="Q176" i="10"/>
  <c r="O176" i="10"/>
  <c r="AA182" i="10"/>
  <c r="L182" i="10"/>
  <c r="AA181" i="10"/>
  <c r="L181" i="10"/>
  <c r="T166" i="10"/>
  <c r="T182" i="10"/>
  <c r="T178" i="10"/>
  <c r="AA178" i="10"/>
  <c r="L178" i="10"/>
  <c r="AA177" i="10"/>
  <c r="M177" i="10"/>
  <c r="N177" i="10"/>
  <c r="M176" i="10"/>
  <c r="N176" i="10"/>
  <c r="AA113" i="10"/>
  <c r="L113" i="10"/>
  <c r="T123" i="10"/>
  <c r="T133" i="10"/>
  <c r="P174" i="10"/>
  <c r="Q174" i="10"/>
  <c r="T183" i="10"/>
  <c r="P182" i="10"/>
  <c r="Q182" i="10"/>
  <c r="AC178" i="10"/>
  <c r="O178" i="10"/>
  <c r="P185" i="10"/>
  <c r="Q185" i="10"/>
  <c r="P183" i="10"/>
  <c r="Q183" i="10"/>
  <c r="P175" i="10"/>
  <c r="Q175" i="10"/>
  <c r="P181" i="10"/>
  <c r="Q181" i="10"/>
  <c r="P177" i="10"/>
  <c r="Q177" i="10"/>
  <c r="P165" i="10"/>
  <c r="Q165" i="10"/>
  <c r="Z153" i="10"/>
  <c r="AA153" i="10"/>
  <c r="L153" i="10"/>
  <c r="Y157" i="10"/>
  <c r="AA157" i="10"/>
  <c r="L157" i="10"/>
  <c r="Y166" i="10"/>
  <c r="Z170" i="10"/>
  <c r="AA170" i="10"/>
  <c r="L170" i="10"/>
  <c r="AA148" i="10"/>
  <c r="L148" i="10"/>
  <c r="R155" i="10"/>
  <c r="T155" i="10"/>
  <c r="Y159" i="10"/>
  <c r="AA159" i="10"/>
  <c r="L159" i="10"/>
  <c r="AA164" i="10"/>
  <c r="L164" i="10"/>
  <c r="R165" i="10"/>
  <c r="T165" i="10"/>
  <c r="P148" i="10"/>
  <c r="Q148" i="10"/>
  <c r="T148" i="10"/>
  <c r="V149" i="10"/>
  <c r="V153" i="10"/>
  <c r="V157" i="10"/>
  <c r="V161" i="10"/>
  <c r="T164" i="10"/>
  <c r="Y165" i="10"/>
  <c r="T167" i="10"/>
  <c r="R150" i="10"/>
  <c r="T150" i="10"/>
  <c r="Y154" i="10"/>
  <c r="AA154" i="10"/>
  <c r="L154" i="10"/>
  <c r="Y158" i="10"/>
  <c r="AA158" i="10"/>
  <c r="L158" i="10"/>
  <c r="R162" i="10"/>
  <c r="T162" i="10"/>
  <c r="T147" i="10"/>
  <c r="V169" i="10"/>
  <c r="Z173" i="10"/>
  <c r="Y150" i="10"/>
  <c r="AA150" i="10"/>
  <c r="L150" i="10"/>
  <c r="T151" i="10"/>
  <c r="R154" i="10"/>
  <c r="T154" i="10"/>
  <c r="R158" i="10"/>
  <c r="T158" i="10"/>
  <c r="T159" i="10"/>
  <c r="Y162" i="10"/>
  <c r="AA162" i="10"/>
  <c r="L162" i="10"/>
  <c r="T163" i="10"/>
  <c r="Z165" i="10"/>
  <c r="AA165" i="10"/>
  <c r="L165" i="10"/>
  <c r="Z166" i="10"/>
  <c r="R149" i="10"/>
  <c r="T149" i="10"/>
  <c r="R153" i="10"/>
  <c r="T153" i="10"/>
  <c r="R157" i="10"/>
  <c r="T157" i="10"/>
  <c r="R161" i="10"/>
  <c r="T161" i="10"/>
  <c r="AA168" i="10"/>
  <c r="L168" i="10"/>
  <c r="R169" i="10"/>
  <c r="T169" i="10"/>
  <c r="R170" i="10"/>
  <c r="T170" i="10"/>
  <c r="R174" i="10"/>
  <c r="T174" i="10"/>
  <c r="M167" i="10"/>
  <c r="N167" i="10"/>
  <c r="L167" i="10"/>
  <c r="M148" i="10"/>
  <c r="N148" i="10"/>
  <c r="T168" i="10"/>
  <c r="T127" i="10"/>
  <c r="T138" i="10"/>
  <c r="AA138" i="10"/>
  <c r="M138" i="10"/>
  <c r="N138" i="10"/>
  <c r="AA117" i="10"/>
  <c r="L117" i="10"/>
  <c r="AA122" i="10"/>
  <c r="L122" i="10"/>
  <c r="T137" i="10"/>
  <c r="P130" i="10"/>
  <c r="Q130" i="10"/>
  <c r="T129" i="10"/>
  <c r="P164" i="10"/>
  <c r="Q164" i="10"/>
  <c r="AA172" i="10"/>
  <c r="L172" i="10"/>
  <c r="O136" i="10"/>
  <c r="P149" i="10"/>
  <c r="Q149" i="10"/>
  <c r="P123" i="10"/>
  <c r="Q123" i="10"/>
  <c r="AA116" i="10"/>
  <c r="L116" i="10"/>
  <c r="AA121" i="10"/>
  <c r="L121" i="10"/>
  <c r="AA171" i="10"/>
  <c r="L171" i="10"/>
  <c r="AA149" i="10"/>
  <c r="L149" i="10"/>
  <c r="AA152" i="10"/>
  <c r="L152" i="10"/>
  <c r="AA156" i="10"/>
  <c r="L156" i="10"/>
  <c r="AA160" i="10"/>
  <c r="L160" i="10"/>
  <c r="P166" i="10"/>
  <c r="Q166" i="10"/>
  <c r="AA169" i="10"/>
  <c r="L169" i="10"/>
  <c r="T171" i="10"/>
  <c r="T172" i="10"/>
  <c r="T173" i="10"/>
  <c r="P147" i="10"/>
  <c r="Q147" i="10"/>
  <c r="AC151" i="10"/>
  <c r="O151" i="10"/>
  <c r="T152" i="10"/>
  <c r="AC153" i="10"/>
  <c r="O153" i="10"/>
  <c r="AC155" i="10"/>
  <c r="O155" i="10"/>
  <c r="T156" i="10"/>
  <c r="AC157" i="10"/>
  <c r="O157" i="10"/>
  <c r="AC159" i="10"/>
  <c r="O159" i="10"/>
  <c r="T160" i="10"/>
  <c r="AC161" i="10"/>
  <c r="O161" i="10"/>
  <c r="AC163" i="10"/>
  <c r="O163" i="10"/>
  <c r="P167" i="10"/>
  <c r="Q167" i="10"/>
  <c r="AC168" i="10"/>
  <c r="O168" i="10"/>
  <c r="AC170" i="10"/>
  <c r="O170" i="10"/>
  <c r="AC171" i="10"/>
  <c r="O171" i="10"/>
  <c r="AC172" i="10"/>
  <c r="O172" i="10"/>
  <c r="AC173" i="10"/>
  <c r="O173" i="10"/>
  <c r="AA174" i="10"/>
  <c r="L174" i="10"/>
  <c r="AA151" i="10"/>
  <c r="L151" i="10"/>
  <c r="P152" i="10"/>
  <c r="Q152" i="10"/>
  <c r="P154" i="10"/>
  <c r="Q154" i="10"/>
  <c r="AA155" i="10"/>
  <c r="L155" i="10"/>
  <c r="P156" i="10"/>
  <c r="Q156" i="10"/>
  <c r="P158" i="10"/>
  <c r="Q158" i="10"/>
  <c r="P160" i="10"/>
  <c r="Q160" i="10"/>
  <c r="AA161" i="10"/>
  <c r="L161" i="10"/>
  <c r="P162" i="10"/>
  <c r="Q162" i="10"/>
  <c r="AA163" i="10"/>
  <c r="L163" i="10"/>
  <c r="O129" i="10"/>
  <c r="P129" i="10"/>
  <c r="Q129" i="10"/>
  <c r="P126" i="10"/>
  <c r="Q126" i="10"/>
  <c r="O126" i="10"/>
  <c r="P135" i="10"/>
  <c r="Q135" i="10"/>
  <c r="O135" i="10"/>
  <c r="P137" i="10"/>
  <c r="Q137" i="10"/>
  <c r="O137" i="10"/>
  <c r="O133" i="10"/>
  <c r="P133" i="10"/>
  <c r="Q133" i="10"/>
  <c r="O134" i="10"/>
  <c r="P134" i="10"/>
  <c r="Q134" i="10"/>
  <c r="P132" i="10"/>
  <c r="Q132" i="10"/>
  <c r="O132" i="10"/>
  <c r="P131" i="10"/>
  <c r="Q131" i="10"/>
  <c r="O131" i="10"/>
  <c r="P138" i="10"/>
  <c r="Q138" i="10"/>
  <c r="O138" i="10"/>
  <c r="T128" i="10"/>
  <c r="T135" i="10"/>
  <c r="T122" i="10"/>
  <c r="T125" i="10"/>
  <c r="T118" i="10"/>
  <c r="AA124" i="10"/>
  <c r="O127" i="10"/>
  <c r="AA127" i="10"/>
  <c r="L127" i="10"/>
  <c r="O128" i="10"/>
  <c r="T136" i="10"/>
  <c r="T139" i="10"/>
  <c r="AA111" i="10"/>
  <c r="L111" i="10"/>
  <c r="AA112" i="10"/>
  <c r="T114" i="10"/>
  <c r="AA123" i="10"/>
  <c r="L123" i="10"/>
  <c r="T126" i="10"/>
  <c r="T131" i="10"/>
  <c r="AA133" i="10"/>
  <c r="L133" i="10"/>
  <c r="T134" i="10"/>
  <c r="L131" i="10"/>
  <c r="M131" i="10"/>
  <c r="N131" i="10"/>
  <c r="L139" i="10"/>
  <c r="M139" i="10"/>
  <c r="N139" i="10"/>
  <c r="T111" i="10"/>
  <c r="AC112" i="10"/>
  <c r="O112" i="10"/>
  <c r="T115" i="10"/>
  <c r="T119" i="10"/>
  <c r="AC120" i="10"/>
  <c r="O120" i="10"/>
  <c r="AA137" i="10"/>
  <c r="L137" i="10"/>
  <c r="T112" i="10"/>
  <c r="AC113" i="10"/>
  <c r="O113" i="10"/>
  <c r="T116" i="10"/>
  <c r="AC117" i="10"/>
  <c r="O117" i="10"/>
  <c r="T120" i="10"/>
  <c r="AC121" i="10"/>
  <c r="O121" i="10"/>
  <c r="P124" i="10"/>
  <c r="Q124" i="10"/>
  <c r="AA126" i="10"/>
  <c r="L126" i="10"/>
  <c r="AA132" i="10"/>
  <c r="L132" i="10"/>
  <c r="AA136" i="10"/>
  <c r="L136" i="10"/>
  <c r="P116" i="10"/>
  <c r="Q116" i="10"/>
  <c r="P111" i="10"/>
  <c r="Q111" i="10"/>
  <c r="T113" i="10"/>
  <c r="AC114" i="10"/>
  <c r="O114" i="10"/>
  <c r="T117" i="10"/>
  <c r="M118" i="10"/>
  <c r="N118" i="10"/>
  <c r="AC118" i="10"/>
  <c r="O118" i="10"/>
  <c r="P119" i="10"/>
  <c r="Q119" i="10"/>
  <c r="T121" i="10"/>
  <c r="AC122" i="10"/>
  <c r="O122" i="10"/>
  <c r="M128" i="10"/>
  <c r="N128" i="10"/>
  <c r="L134" i="10"/>
  <c r="M135" i="10"/>
  <c r="N135" i="10"/>
  <c r="M175" i="10"/>
  <c r="N175" i="10"/>
  <c r="M185" i="10"/>
  <c r="N185" i="10"/>
  <c r="L138" i="10"/>
  <c r="M183" i="10"/>
  <c r="N183" i="10"/>
  <c r="M113" i="10"/>
  <c r="N113" i="10"/>
  <c r="M114" i="10"/>
  <c r="N114" i="10"/>
  <c r="M119" i="10"/>
  <c r="N119" i="10"/>
  <c r="L120" i="10"/>
  <c r="M180" i="10"/>
  <c r="N180" i="10"/>
  <c r="M130" i="10"/>
  <c r="N130" i="10"/>
  <c r="L147" i="10"/>
  <c r="M116" i="10"/>
  <c r="N116" i="10"/>
  <c r="L177" i="10"/>
  <c r="M122" i="10"/>
  <c r="N122" i="10"/>
  <c r="M121" i="10"/>
  <c r="N121" i="10"/>
  <c r="L115" i="10"/>
  <c r="AA166" i="10"/>
  <c r="L166" i="10"/>
  <c r="M117" i="10"/>
  <c r="N117" i="10"/>
  <c r="M111" i="10"/>
  <c r="N111" i="10"/>
  <c r="M182" i="10"/>
  <c r="N182" i="10"/>
  <c r="M181" i="10"/>
  <c r="N181" i="10"/>
  <c r="M125" i="10"/>
  <c r="N125" i="10"/>
  <c r="M184" i="10"/>
  <c r="N184" i="10"/>
  <c r="M164" i="10"/>
  <c r="N164" i="10"/>
  <c r="P178" i="10"/>
  <c r="Q178" i="10"/>
  <c r="M168" i="10"/>
  <c r="N168" i="10"/>
  <c r="M178" i="10"/>
  <c r="N178" i="10"/>
  <c r="P172" i="10"/>
  <c r="Q172" i="10"/>
  <c r="P161" i="10"/>
  <c r="Q161" i="10"/>
  <c r="P170" i="10"/>
  <c r="Q170" i="10"/>
  <c r="P151" i="10"/>
  <c r="Q151" i="10"/>
  <c r="M163" i="10"/>
  <c r="N163" i="10"/>
  <c r="M156" i="10"/>
  <c r="N156" i="10"/>
  <c r="M152" i="10"/>
  <c r="N152" i="10"/>
  <c r="M153" i="10"/>
  <c r="N153" i="10"/>
  <c r="M172" i="10"/>
  <c r="N172" i="10"/>
  <c r="M171" i="10"/>
  <c r="N171" i="10"/>
  <c r="AA173" i="10"/>
  <c r="L173" i="10"/>
  <c r="M157" i="10"/>
  <c r="N157" i="10"/>
  <c r="M158" i="10"/>
  <c r="N158" i="10"/>
  <c r="M123" i="10"/>
  <c r="N123" i="10"/>
  <c r="M170" i="10"/>
  <c r="N170" i="10"/>
  <c r="M160" i="10"/>
  <c r="N160" i="10"/>
  <c r="P153" i="10"/>
  <c r="Q153" i="10"/>
  <c r="M126" i="10"/>
  <c r="N126" i="10"/>
  <c r="M150" i="10"/>
  <c r="N150" i="10"/>
  <c r="M112" i="10"/>
  <c r="N112" i="10"/>
  <c r="L112" i="10"/>
  <c r="L124" i="10"/>
  <c r="M124" i="10"/>
  <c r="N124" i="10"/>
  <c r="M161" i="10"/>
  <c r="N161" i="10"/>
  <c r="M155" i="10"/>
  <c r="N155" i="10"/>
  <c r="P159" i="10"/>
  <c r="Q159" i="10"/>
  <c r="M127" i="10"/>
  <c r="N127" i="10"/>
  <c r="M174" i="10"/>
  <c r="N174" i="10"/>
  <c r="P163" i="10"/>
  <c r="Q163" i="10"/>
  <c r="P155" i="10"/>
  <c r="Q155" i="10"/>
  <c r="M149" i="10"/>
  <c r="N149" i="10"/>
  <c r="M159" i="10"/>
  <c r="N159" i="10"/>
  <c r="M151" i="10"/>
  <c r="N151" i="10"/>
  <c r="P173" i="10"/>
  <c r="Q173" i="10"/>
  <c r="P171" i="10"/>
  <c r="Q171" i="10"/>
  <c r="P168" i="10"/>
  <c r="Q168" i="10"/>
  <c r="M162" i="10"/>
  <c r="N162" i="10"/>
  <c r="P157" i="10"/>
  <c r="Q157" i="10"/>
  <c r="M154" i="10"/>
  <c r="N154" i="10"/>
  <c r="M165" i="10"/>
  <c r="N165" i="10"/>
  <c r="P112" i="10"/>
  <c r="Q112" i="10"/>
  <c r="P113" i="10"/>
  <c r="Q113" i="10"/>
  <c r="M132" i="10"/>
  <c r="N132" i="10"/>
  <c r="M136" i="10"/>
  <c r="N136" i="10"/>
  <c r="P117" i="10"/>
  <c r="Q117" i="10"/>
  <c r="P122" i="10"/>
  <c r="Q122" i="10"/>
  <c r="P118" i="10"/>
  <c r="Q118" i="10"/>
  <c r="P114" i="10"/>
  <c r="Q114" i="10"/>
  <c r="P121" i="10"/>
  <c r="Q121" i="10"/>
  <c r="P120" i="10"/>
  <c r="Q120" i="10"/>
  <c r="M137" i="10"/>
  <c r="N137" i="10"/>
  <c r="M166" i="10"/>
  <c r="N166" i="10"/>
  <c r="M173" i="10"/>
  <c r="N173" i="10"/>
  <c r="AB58" i="10"/>
  <c r="AC58" i="10"/>
  <c r="Z58" i="10"/>
  <c r="Y58" i="10"/>
  <c r="W58" i="10"/>
  <c r="V58" i="10"/>
  <c r="AB57" i="10"/>
  <c r="AC57" i="10"/>
  <c r="Z57" i="10"/>
  <c r="Y57" i="10"/>
  <c r="W57" i="10"/>
  <c r="V57" i="10"/>
  <c r="S57" i="10"/>
  <c r="R57" i="10"/>
  <c r="AB56" i="10"/>
  <c r="AC56" i="10"/>
  <c r="Z56" i="10"/>
  <c r="Y56" i="10"/>
  <c r="W56" i="10"/>
  <c r="V56" i="10"/>
  <c r="S56" i="10"/>
  <c r="R56" i="10"/>
  <c r="AB55" i="10"/>
  <c r="AC55" i="10"/>
  <c r="Z55" i="10"/>
  <c r="Y55" i="10"/>
  <c r="W55" i="10"/>
  <c r="V55" i="10"/>
  <c r="S55" i="10"/>
  <c r="R55" i="10"/>
  <c r="AB54" i="10"/>
  <c r="AC54" i="10"/>
  <c r="Z54" i="10"/>
  <c r="Y54" i="10"/>
  <c r="W54" i="10"/>
  <c r="V54" i="10"/>
  <c r="S54" i="10"/>
  <c r="R54" i="10"/>
  <c r="AB53" i="10"/>
  <c r="AC53" i="10"/>
  <c r="Z53" i="10"/>
  <c r="Y53" i="10"/>
  <c r="W53" i="10"/>
  <c r="V53" i="10"/>
  <c r="S53" i="10"/>
  <c r="R53" i="10"/>
  <c r="AB52" i="10"/>
  <c r="AC52" i="10"/>
  <c r="Z52" i="10"/>
  <c r="Y52" i="10"/>
  <c r="W52" i="10"/>
  <c r="V52" i="10"/>
  <c r="S52" i="10"/>
  <c r="R52" i="10"/>
  <c r="AB51" i="10"/>
  <c r="AC51" i="10"/>
  <c r="P51" i="10"/>
  <c r="Q51" i="10"/>
  <c r="Z51" i="10"/>
  <c r="Y51" i="10"/>
  <c r="W51" i="10"/>
  <c r="V51" i="10"/>
  <c r="S51" i="10"/>
  <c r="R51" i="10"/>
  <c r="AB50" i="10"/>
  <c r="AC50" i="10"/>
  <c r="Z50" i="10"/>
  <c r="Y50" i="10"/>
  <c r="W50" i="10"/>
  <c r="V50" i="10"/>
  <c r="S50" i="10"/>
  <c r="R50" i="10"/>
  <c r="AB49" i="10"/>
  <c r="AC49" i="10"/>
  <c r="Z49" i="10"/>
  <c r="Y49" i="10"/>
  <c r="W49" i="10"/>
  <c r="V49" i="10"/>
  <c r="S49" i="10"/>
  <c r="R49" i="10"/>
  <c r="AB48" i="10"/>
  <c r="AC48" i="10"/>
  <c r="Z48" i="10"/>
  <c r="Y48" i="10"/>
  <c r="W48" i="10"/>
  <c r="V48" i="10"/>
  <c r="S48" i="10"/>
  <c r="R48" i="10"/>
  <c r="AB47" i="10"/>
  <c r="AC47" i="10"/>
  <c r="Z47" i="10"/>
  <c r="Y47" i="10"/>
  <c r="W47" i="10"/>
  <c r="V47" i="10"/>
  <c r="S47" i="10"/>
  <c r="R47" i="10"/>
  <c r="AB46" i="10"/>
  <c r="AC46" i="10"/>
  <c r="Z46" i="10"/>
  <c r="Y46" i="10"/>
  <c r="W46" i="10"/>
  <c r="V46" i="10"/>
  <c r="S46" i="10"/>
  <c r="R46" i="10"/>
  <c r="AB45" i="10"/>
  <c r="AC45" i="10"/>
  <c r="P45" i="10"/>
  <c r="Q45" i="10"/>
  <c r="Z45" i="10"/>
  <c r="Y45" i="10"/>
  <c r="W45" i="10"/>
  <c r="V45" i="10"/>
  <c r="S45" i="10"/>
  <c r="R45" i="10"/>
  <c r="AB44" i="10"/>
  <c r="AC44" i="10"/>
  <c r="Z44" i="10"/>
  <c r="Y44" i="10"/>
  <c r="W44" i="10"/>
  <c r="V44" i="10"/>
  <c r="S44" i="10"/>
  <c r="R44" i="10"/>
  <c r="AB43" i="10"/>
  <c r="AC43" i="10"/>
  <c r="Z43" i="10"/>
  <c r="Y43" i="10"/>
  <c r="W43" i="10"/>
  <c r="V43" i="10"/>
  <c r="S43" i="10"/>
  <c r="R43" i="10"/>
  <c r="AB42" i="10"/>
  <c r="AC42" i="10"/>
  <c r="Z42" i="10"/>
  <c r="Y42" i="10"/>
  <c r="W42" i="10"/>
  <c r="V42" i="10"/>
  <c r="S42" i="10"/>
  <c r="R42" i="10"/>
  <c r="AB41" i="10"/>
  <c r="AC41" i="10"/>
  <c r="Z41" i="10"/>
  <c r="Y41" i="10"/>
  <c r="W41" i="10"/>
  <c r="V41" i="10"/>
  <c r="S41" i="10"/>
  <c r="R41" i="10"/>
  <c r="AB40" i="10"/>
  <c r="AC40" i="10"/>
  <c r="Z40" i="10"/>
  <c r="Y40" i="10"/>
  <c r="W40" i="10"/>
  <c r="V40" i="10"/>
  <c r="S40" i="10"/>
  <c r="R40" i="10"/>
  <c r="AB39" i="10"/>
  <c r="AC39" i="10"/>
  <c r="Z39" i="10"/>
  <c r="Y39" i="10"/>
  <c r="W39" i="10"/>
  <c r="V39" i="10"/>
  <c r="S39" i="10"/>
  <c r="R39" i="10"/>
  <c r="AB38" i="10"/>
  <c r="AC38" i="10"/>
  <c r="Z38" i="10"/>
  <c r="Y38" i="10"/>
  <c r="W38" i="10"/>
  <c r="V38" i="10"/>
  <c r="S38" i="10"/>
  <c r="R38" i="10"/>
  <c r="AB37" i="10"/>
  <c r="AC37" i="10"/>
  <c r="Z37" i="10"/>
  <c r="Y37" i="10"/>
  <c r="W37" i="10"/>
  <c r="V37" i="10"/>
  <c r="S37" i="10"/>
  <c r="R37" i="10"/>
  <c r="AB36" i="10"/>
  <c r="AC36" i="10"/>
  <c r="Z36" i="10"/>
  <c r="Y36" i="10"/>
  <c r="W36" i="10"/>
  <c r="V36" i="10"/>
  <c r="S36" i="10"/>
  <c r="R36" i="10"/>
  <c r="AB35" i="10"/>
  <c r="AC35" i="10"/>
  <c r="Z35" i="10"/>
  <c r="Y35" i="10"/>
  <c r="W35" i="10"/>
  <c r="V35" i="10"/>
  <c r="S35" i="10"/>
  <c r="R35" i="10"/>
  <c r="AB32" i="10"/>
  <c r="AC32" i="10"/>
  <c r="Z32" i="10"/>
  <c r="Y32" i="10"/>
  <c r="W32" i="10"/>
  <c r="V32" i="10"/>
  <c r="S32" i="10"/>
  <c r="R32" i="10"/>
  <c r="AB31" i="10"/>
  <c r="AC31" i="10"/>
  <c r="Z31" i="10"/>
  <c r="Y31" i="10"/>
  <c r="W31" i="10"/>
  <c r="V31" i="10"/>
  <c r="S31" i="10"/>
  <c r="R31" i="10"/>
  <c r="AB30" i="10"/>
  <c r="AC30" i="10"/>
  <c r="Z30" i="10"/>
  <c r="Y30" i="10"/>
  <c r="W30" i="10"/>
  <c r="V30" i="10"/>
  <c r="S30" i="10"/>
  <c r="R30" i="10"/>
  <c r="AB29" i="10"/>
  <c r="AC29" i="10"/>
  <c r="Z29" i="10"/>
  <c r="Y29" i="10"/>
  <c r="W29" i="10"/>
  <c r="V29" i="10"/>
  <c r="S29" i="10"/>
  <c r="R29" i="10"/>
  <c r="AB28" i="10"/>
  <c r="AC28" i="10"/>
  <c r="O28" i="10"/>
  <c r="Z28" i="10"/>
  <c r="Y28" i="10"/>
  <c r="W28" i="10"/>
  <c r="V28" i="10"/>
  <c r="S28" i="10"/>
  <c r="R28" i="10"/>
  <c r="AB27" i="10"/>
  <c r="AC27" i="10"/>
  <c r="O27" i="10"/>
  <c r="Z27" i="10"/>
  <c r="Y27" i="10"/>
  <c r="W27" i="10"/>
  <c r="V27" i="10"/>
  <c r="S27" i="10"/>
  <c r="R27" i="10"/>
  <c r="AB26" i="10"/>
  <c r="Z26" i="10"/>
  <c r="Y26" i="10"/>
  <c r="W26" i="10"/>
  <c r="V26" i="10"/>
  <c r="S26" i="10"/>
  <c r="R26" i="10"/>
  <c r="AB25" i="10"/>
  <c r="Z25" i="10"/>
  <c r="Y25" i="10"/>
  <c r="W25" i="10"/>
  <c r="V25" i="10"/>
  <c r="S25" i="10"/>
  <c r="R25" i="10"/>
  <c r="AB24" i="10"/>
  <c r="Z24" i="10"/>
  <c r="Y24" i="10"/>
  <c r="W24" i="10"/>
  <c r="V24" i="10"/>
  <c r="S24" i="10"/>
  <c r="R24" i="10"/>
  <c r="AB23" i="10"/>
  <c r="AC23" i="10"/>
  <c r="O23" i="10"/>
  <c r="Z23" i="10"/>
  <c r="Y23" i="10"/>
  <c r="W23" i="10"/>
  <c r="V23" i="10"/>
  <c r="S23" i="10"/>
  <c r="R23" i="10"/>
  <c r="AB22" i="10"/>
  <c r="Z22" i="10"/>
  <c r="Y22" i="10"/>
  <c r="W22" i="10"/>
  <c r="V22" i="10"/>
  <c r="S22" i="10"/>
  <c r="R22" i="10"/>
  <c r="AB21" i="10"/>
  <c r="AC21" i="10"/>
  <c r="Z21" i="10"/>
  <c r="Y21" i="10"/>
  <c r="W21" i="10"/>
  <c r="V21" i="10"/>
  <c r="S21" i="10"/>
  <c r="R21" i="10"/>
  <c r="AB20" i="10"/>
  <c r="AC20" i="10"/>
  <c r="Z20" i="10"/>
  <c r="Y20" i="10"/>
  <c r="W20" i="10"/>
  <c r="V20" i="10"/>
  <c r="S20" i="10"/>
  <c r="R20" i="10"/>
  <c r="AB19" i="10"/>
  <c r="AC19" i="10"/>
  <c r="Z19" i="10"/>
  <c r="Y19" i="10"/>
  <c r="W19" i="10"/>
  <c r="V19" i="10"/>
  <c r="S19" i="10"/>
  <c r="R19" i="10"/>
  <c r="AB18" i="10"/>
  <c r="AC18" i="10"/>
  <c r="Z18" i="10"/>
  <c r="Y18" i="10"/>
  <c r="W18" i="10"/>
  <c r="V18" i="10"/>
  <c r="S18" i="10"/>
  <c r="R18" i="10"/>
  <c r="AB17" i="10"/>
  <c r="AC17" i="10"/>
  <c r="O17" i="10"/>
  <c r="Z17" i="10"/>
  <c r="Y17" i="10"/>
  <c r="W17" i="10"/>
  <c r="V17" i="10"/>
  <c r="S17" i="10"/>
  <c r="R17" i="10"/>
  <c r="AB16" i="10"/>
  <c r="AC16" i="10"/>
  <c r="O16" i="10"/>
  <c r="Z16" i="10"/>
  <c r="Y16" i="10"/>
  <c r="W16" i="10"/>
  <c r="V16" i="10"/>
  <c r="S16" i="10"/>
  <c r="R16" i="10"/>
  <c r="AB15" i="10"/>
  <c r="AC15" i="10"/>
  <c r="O15" i="10"/>
  <c r="Z15" i="10"/>
  <c r="Y15" i="10"/>
  <c r="W15" i="10"/>
  <c r="V15" i="10"/>
  <c r="S15" i="10"/>
  <c r="R15" i="10"/>
  <c r="AB104" i="10"/>
  <c r="AC104" i="10"/>
  <c r="O104" i="10"/>
  <c r="Z104" i="10"/>
  <c r="Y104" i="10"/>
  <c r="W104" i="10"/>
  <c r="V104" i="10"/>
  <c r="S104" i="10"/>
  <c r="R104" i="10"/>
  <c r="AB103" i="10"/>
  <c r="AC103" i="10"/>
  <c r="O103" i="10"/>
  <c r="Z103" i="10"/>
  <c r="Y103" i="10"/>
  <c r="W103" i="10"/>
  <c r="V103" i="10"/>
  <c r="S103" i="10"/>
  <c r="R103" i="10"/>
  <c r="AB102" i="10"/>
  <c r="AC102" i="10"/>
  <c r="O102" i="10"/>
  <c r="Z102" i="10"/>
  <c r="Y102" i="10"/>
  <c r="W102" i="10"/>
  <c r="V102" i="10"/>
  <c r="S102" i="10"/>
  <c r="R102" i="10"/>
  <c r="AB101" i="10"/>
  <c r="AC101" i="10"/>
  <c r="O101" i="10"/>
  <c r="Z101" i="10"/>
  <c r="Y101" i="10"/>
  <c r="W101" i="10"/>
  <c r="V101" i="10"/>
  <c r="S101" i="10"/>
  <c r="R101" i="10"/>
  <c r="AB100" i="10"/>
  <c r="AC100" i="10"/>
  <c r="O100" i="10"/>
  <c r="Z100" i="10"/>
  <c r="Y100" i="10"/>
  <c r="W100" i="10"/>
  <c r="V100" i="10"/>
  <c r="S100" i="10"/>
  <c r="R100" i="10"/>
  <c r="AB99" i="10"/>
  <c r="AC99" i="10"/>
  <c r="O99" i="10"/>
  <c r="Z99" i="10"/>
  <c r="Y99" i="10"/>
  <c r="W99" i="10"/>
  <c r="V99" i="10"/>
  <c r="S99" i="10"/>
  <c r="R99" i="10"/>
  <c r="AB98" i="10"/>
  <c r="AC98" i="10"/>
  <c r="O98" i="10"/>
  <c r="Z98" i="10"/>
  <c r="Y98" i="10"/>
  <c r="W98" i="10"/>
  <c r="V98" i="10"/>
  <c r="S98" i="10"/>
  <c r="R98" i="10"/>
  <c r="AB97" i="10"/>
  <c r="AC97" i="10"/>
  <c r="O97" i="10"/>
  <c r="Z97" i="10"/>
  <c r="Y97" i="10"/>
  <c r="W97" i="10"/>
  <c r="V97" i="10"/>
  <c r="S97" i="10"/>
  <c r="R97" i="10"/>
  <c r="AB96" i="10"/>
  <c r="AC96" i="10"/>
  <c r="O96" i="10"/>
  <c r="Z96" i="10"/>
  <c r="Y96" i="10"/>
  <c r="W96" i="10"/>
  <c r="V96" i="10"/>
  <c r="S96" i="10"/>
  <c r="R96" i="10"/>
  <c r="AB95" i="10"/>
  <c r="AC95" i="10"/>
  <c r="O95" i="10"/>
  <c r="Z95" i="10"/>
  <c r="Y95" i="10"/>
  <c r="W95" i="10"/>
  <c r="V95" i="10"/>
  <c r="S95" i="10"/>
  <c r="R95" i="10"/>
  <c r="AB94" i="10"/>
  <c r="AC94" i="10"/>
  <c r="O94" i="10"/>
  <c r="Z94" i="10"/>
  <c r="Y94" i="10"/>
  <c r="W94" i="10"/>
  <c r="V94" i="10"/>
  <c r="S94" i="10"/>
  <c r="R94" i="10"/>
  <c r="AB93" i="10"/>
  <c r="AC93" i="10"/>
  <c r="O93" i="10"/>
  <c r="Z93" i="10"/>
  <c r="Y93" i="10"/>
  <c r="W93" i="10"/>
  <c r="V93" i="10"/>
  <c r="S93" i="10"/>
  <c r="R93" i="10"/>
  <c r="AB92" i="10"/>
  <c r="AC92" i="10"/>
  <c r="O92" i="10"/>
  <c r="Z92" i="10"/>
  <c r="Y92" i="10"/>
  <c r="W92" i="10"/>
  <c r="V92" i="10"/>
  <c r="S92" i="10"/>
  <c r="R92" i="10"/>
  <c r="AB91" i="10"/>
  <c r="AC91" i="10"/>
  <c r="O91" i="10"/>
  <c r="Z91" i="10"/>
  <c r="Y91" i="10"/>
  <c r="W91" i="10"/>
  <c r="V91" i="10"/>
  <c r="S91" i="10"/>
  <c r="R91" i="10"/>
  <c r="AB90" i="10"/>
  <c r="AC90" i="10"/>
  <c r="O90" i="10"/>
  <c r="Z90" i="10"/>
  <c r="Y90" i="10"/>
  <c r="W90" i="10"/>
  <c r="V90" i="10"/>
  <c r="S90" i="10"/>
  <c r="R90" i="10"/>
  <c r="AB89" i="10"/>
  <c r="AC89" i="10"/>
  <c r="O89" i="10"/>
  <c r="Z89" i="10"/>
  <c r="Y89" i="10"/>
  <c r="W89" i="10"/>
  <c r="V89" i="10"/>
  <c r="S89" i="10"/>
  <c r="R89" i="10"/>
  <c r="AB88" i="10"/>
  <c r="AC88" i="10"/>
  <c r="O88" i="10"/>
  <c r="Z88" i="10"/>
  <c r="Y88" i="10"/>
  <c r="W88" i="10"/>
  <c r="V88" i="10"/>
  <c r="S88" i="10"/>
  <c r="R88" i="10"/>
  <c r="AB86" i="10"/>
  <c r="AC86" i="10"/>
  <c r="O86" i="10"/>
  <c r="Z86" i="10"/>
  <c r="Y86" i="10"/>
  <c r="W86" i="10"/>
  <c r="V86" i="10"/>
  <c r="S86" i="10"/>
  <c r="R86" i="10"/>
  <c r="AB85" i="10"/>
  <c r="AC85" i="10"/>
  <c r="O85" i="10"/>
  <c r="Z85" i="10"/>
  <c r="Y85" i="10"/>
  <c r="W85" i="10"/>
  <c r="V85" i="10"/>
  <c r="S85" i="10"/>
  <c r="R85" i="10"/>
  <c r="AB84" i="10"/>
  <c r="AC84" i="10"/>
  <c r="O84" i="10"/>
  <c r="Z84" i="10"/>
  <c r="Y84" i="10"/>
  <c r="W84" i="10"/>
  <c r="V84" i="10"/>
  <c r="S84" i="10"/>
  <c r="R84" i="10"/>
  <c r="AB83" i="10"/>
  <c r="AC83" i="10"/>
  <c r="O83" i="10"/>
  <c r="Z83" i="10"/>
  <c r="Y83" i="10"/>
  <c r="W83" i="10"/>
  <c r="V83" i="10"/>
  <c r="S83" i="10"/>
  <c r="R83" i="10"/>
  <c r="AB82" i="10"/>
  <c r="AC82" i="10"/>
  <c r="O82" i="10"/>
  <c r="Z82" i="10"/>
  <c r="Y82" i="10"/>
  <c r="W82" i="10"/>
  <c r="V82" i="10"/>
  <c r="S82" i="10"/>
  <c r="R82" i="10"/>
  <c r="AB81" i="10"/>
  <c r="AC81" i="10"/>
  <c r="O81" i="10"/>
  <c r="Z81" i="10"/>
  <c r="Y81" i="10"/>
  <c r="W81" i="10"/>
  <c r="V81" i="10"/>
  <c r="S81" i="10"/>
  <c r="R81" i="10"/>
  <c r="AB80" i="10"/>
  <c r="AC80" i="10"/>
  <c r="O80" i="10"/>
  <c r="Z80" i="10"/>
  <c r="Y80" i="10"/>
  <c r="W80" i="10"/>
  <c r="V80" i="10"/>
  <c r="S80" i="10"/>
  <c r="R80" i="10"/>
  <c r="AB79" i="10"/>
  <c r="AC79" i="10"/>
  <c r="O79" i="10"/>
  <c r="Z79" i="10"/>
  <c r="Y79" i="10"/>
  <c r="W79" i="10"/>
  <c r="V79" i="10"/>
  <c r="S79" i="10"/>
  <c r="R79" i="10"/>
  <c r="AB78" i="10"/>
  <c r="AC78" i="10"/>
  <c r="O78" i="10"/>
  <c r="Z78" i="10"/>
  <c r="Y78" i="10"/>
  <c r="W78" i="10"/>
  <c r="V78" i="10"/>
  <c r="S78" i="10"/>
  <c r="R78" i="10"/>
  <c r="AB77" i="10"/>
  <c r="AC77" i="10"/>
  <c r="O77" i="10"/>
  <c r="Z77" i="10"/>
  <c r="Y77" i="10"/>
  <c r="W77" i="10"/>
  <c r="V77" i="10"/>
  <c r="S77" i="10"/>
  <c r="R77" i="10"/>
  <c r="AB76" i="10"/>
  <c r="AC76" i="10"/>
  <c r="O76" i="10"/>
  <c r="Z76" i="10"/>
  <c r="Y76" i="10"/>
  <c r="W76" i="10"/>
  <c r="V76" i="10"/>
  <c r="S76" i="10"/>
  <c r="R76" i="10"/>
  <c r="AB75" i="10"/>
  <c r="AC75" i="10"/>
  <c r="O75" i="10"/>
  <c r="Z75" i="10"/>
  <c r="Y75" i="10"/>
  <c r="W75" i="10"/>
  <c r="V75" i="10"/>
  <c r="S75" i="10"/>
  <c r="R75" i="10"/>
  <c r="AB74" i="10"/>
  <c r="AC74" i="10"/>
  <c r="O74" i="10"/>
  <c r="Z74" i="10"/>
  <c r="Y74" i="10"/>
  <c r="W74" i="10"/>
  <c r="V74" i="10"/>
  <c r="S74" i="10"/>
  <c r="R74" i="10"/>
  <c r="AB73" i="10"/>
  <c r="AC73" i="10"/>
  <c r="P73" i="10"/>
  <c r="Q73" i="10"/>
  <c r="Z73" i="10"/>
  <c r="Y73" i="10"/>
  <c r="W73" i="10"/>
  <c r="V73" i="10"/>
  <c r="S73" i="10"/>
  <c r="R73" i="10"/>
  <c r="AB72" i="10"/>
  <c r="Z72" i="10"/>
  <c r="Y72" i="10"/>
  <c r="W72" i="10"/>
  <c r="V72" i="10"/>
  <c r="S72" i="10"/>
  <c r="R72" i="10"/>
  <c r="AB71" i="10"/>
  <c r="Z71" i="10"/>
  <c r="Y71" i="10"/>
  <c r="W71" i="10"/>
  <c r="V71" i="10"/>
  <c r="S71" i="10"/>
  <c r="R71" i="10"/>
  <c r="AB70" i="10"/>
  <c r="AC70" i="10"/>
  <c r="O70" i="10"/>
  <c r="Z70" i="10"/>
  <c r="Y70" i="10"/>
  <c r="W70" i="10"/>
  <c r="V70" i="10"/>
  <c r="S70" i="10"/>
  <c r="R70" i="10"/>
  <c r="AB69" i="10"/>
  <c r="AC69" i="10"/>
  <c r="O69" i="10"/>
  <c r="Z69" i="10"/>
  <c r="Y69" i="10"/>
  <c r="W69" i="10"/>
  <c r="V69" i="10"/>
  <c r="S69" i="10"/>
  <c r="R69" i="10"/>
  <c r="AB68" i="10"/>
  <c r="Z68" i="10"/>
  <c r="Y68" i="10"/>
  <c r="W68" i="10"/>
  <c r="V68" i="10"/>
  <c r="S68" i="10"/>
  <c r="R68" i="10"/>
  <c r="AB67" i="10"/>
  <c r="Z67" i="10"/>
  <c r="Y67" i="10"/>
  <c r="W67" i="10"/>
  <c r="V67" i="10"/>
  <c r="S67" i="10"/>
  <c r="R67" i="10"/>
  <c r="AB66" i="10"/>
  <c r="AC66" i="10"/>
  <c r="O66" i="10"/>
  <c r="Z66" i="10"/>
  <c r="Y66" i="10"/>
  <c r="W66" i="10"/>
  <c r="V66" i="10"/>
  <c r="S66" i="10"/>
  <c r="R66" i="10"/>
  <c r="AA25" i="10"/>
  <c r="L25" i="10"/>
  <c r="AA21" i="10"/>
  <c r="AA46" i="10"/>
  <c r="L46" i="10"/>
  <c r="AA54" i="10"/>
  <c r="L54" i="10"/>
  <c r="AA85" i="10"/>
  <c r="L85" i="10"/>
  <c r="T104" i="10"/>
  <c r="T18" i="10"/>
  <c r="AA50" i="10"/>
  <c r="L50" i="10"/>
  <c r="AA58" i="10"/>
  <c r="P91" i="10"/>
  <c r="Q91" i="10"/>
  <c r="P92" i="10"/>
  <c r="Q92" i="10"/>
  <c r="P55" i="10"/>
  <c r="Q55" i="10"/>
  <c r="O55" i="10"/>
  <c r="T88" i="10"/>
  <c r="AA72" i="10"/>
  <c r="L72" i="10"/>
  <c r="P35" i="10"/>
  <c r="Q35" i="10"/>
  <c r="O35" i="10"/>
  <c r="T86" i="10"/>
  <c r="T22" i="10"/>
  <c r="T95" i="10"/>
  <c r="P43" i="10"/>
  <c r="Q43" i="10"/>
  <c r="O43" i="10"/>
  <c r="AA79" i="10"/>
  <c r="M79" i="10"/>
  <c r="N79" i="10"/>
  <c r="T80" i="10"/>
  <c r="AA83" i="10"/>
  <c r="M83" i="10"/>
  <c r="N83" i="10"/>
  <c r="T47" i="10"/>
  <c r="AA66" i="10"/>
  <c r="L66" i="10"/>
  <c r="AA70" i="10"/>
  <c r="L70" i="10"/>
  <c r="P95" i="10"/>
  <c r="Q95" i="10"/>
  <c r="P100" i="10"/>
  <c r="Q100" i="10"/>
  <c r="P101" i="10"/>
  <c r="Q101" i="10"/>
  <c r="P102" i="10"/>
  <c r="Q102" i="10"/>
  <c r="P103" i="10"/>
  <c r="Q103" i="10"/>
  <c r="P104" i="10"/>
  <c r="Q104" i="10"/>
  <c r="AA69" i="10"/>
  <c r="L69" i="10"/>
  <c r="AA73" i="10"/>
  <c r="L73" i="10"/>
  <c r="AA81" i="10"/>
  <c r="L81" i="10"/>
  <c r="AA42" i="10"/>
  <c r="L42" i="10"/>
  <c r="P39" i="10"/>
  <c r="Q39" i="10"/>
  <c r="O39" i="10"/>
  <c r="P29" i="10"/>
  <c r="Q29" i="10"/>
  <c r="O29" i="10"/>
  <c r="T75" i="10"/>
  <c r="T16" i="10"/>
  <c r="T82" i="10"/>
  <c r="T103" i="10"/>
  <c r="T15" i="10"/>
  <c r="T20" i="10"/>
  <c r="P27" i="10"/>
  <c r="Q27" i="10"/>
  <c r="P28" i="10"/>
  <c r="Q28" i="10"/>
  <c r="T49" i="10"/>
  <c r="T74" i="10"/>
  <c r="T83" i="10"/>
  <c r="T96" i="10"/>
  <c r="T17" i="10"/>
  <c r="T78" i="10"/>
  <c r="P88" i="10"/>
  <c r="Q88" i="10"/>
  <c r="T91" i="10"/>
  <c r="T92" i="10"/>
  <c r="T99" i="10"/>
  <c r="T100" i="10"/>
  <c r="P75" i="10"/>
  <c r="Q75" i="10"/>
  <c r="T81" i="10"/>
  <c r="P96" i="10"/>
  <c r="Q96" i="10"/>
  <c r="P17" i="10"/>
  <c r="Q17" i="10"/>
  <c r="T19" i="10"/>
  <c r="AA26" i="10"/>
  <c r="L26" i="10"/>
  <c r="AA29" i="10"/>
  <c r="AA38" i="10"/>
  <c r="L38" i="10"/>
  <c r="AA39" i="10"/>
  <c r="L39" i="10"/>
  <c r="T48" i="10"/>
  <c r="P46" i="10"/>
  <c r="Q46" i="10"/>
  <c r="O46" i="10"/>
  <c r="P50" i="10"/>
  <c r="Q50" i="10"/>
  <c r="O50" i="10"/>
  <c r="P38" i="10"/>
  <c r="Q38" i="10"/>
  <c r="O38" i="10"/>
  <c r="P47" i="10"/>
  <c r="Q47" i="10"/>
  <c r="O47" i="10"/>
  <c r="P32" i="10"/>
  <c r="Q32" i="10"/>
  <c r="O32" i="10"/>
  <c r="P42" i="10"/>
  <c r="Q42" i="10"/>
  <c r="O42" i="10"/>
  <c r="P49" i="10"/>
  <c r="Q49" i="10"/>
  <c r="O49" i="10"/>
  <c r="P54" i="10"/>
  <c r="Q54" i="10"/>
  <c r="O54" i="10"/>
  <c r="O45" i="10"/>
  <c r="O51" i="10"/>
  <c r="T76" i="10"/>
  <c r="P84" i="10"/>
  <c r="Q84" i="10"/>
  <c r="T89" i="10"/>
  <c r="T90" i="10"/>
  <c r="T98" i="10"/>
  <c r="T41" i="10"/>
  <c r="T53" i="10"/>
  <c r="T57" i="10"/>
  <c r="AA77" i="10"/>
  <c r="L77" i="10"/>
  <c r="P83" i="10"/>
  <c r="Q83" i="10"/>
  <c r="P15" i="10"/>
  <c r="Q15" i="10"/>
  <c r="AA17" i="10"/>
  <c r="L17" i="10"/>
  <c r="T28" i="10"/>
  <c r="T30" i="10"/>
  <c r="T40" i="10"/>
  <c r="T43" i="10"/>
  <c r="T44" i="10"/>
  <c r="T45" i="10"/>
  <c r="T51" i="10"/>
  <c r="T52" i="10"/>
  <c r="T55" i="10"/>
  <c r="T56" i="10"/>
  <c r="T67" i="10"/>
  <c r="AA75" i="10"/>
  <c r="M75" i="10"/>
  <c r="N75" i="10"/>
  <c r="T77" i="10"/>
  <c r="T79" i="10"/>
  <c r="AA80" i="10"/>
  <c r="L80" i="10"/>
  <c r="M85" i="10"/>
  <c r="N85" i="10"/>
  <c r="P93" i="10"/>
  <c r="Q93" i="10"/>
  <c r="P94" i="10"/>
  <c r="Q94" i="10"/>
  <c r="T97" i="10"/>
  <c r="T21" i="10"/>
  <c r="T26" i="10"/>
  <c r="T31" i="10"/>
  <c r="T37" i="10"/>
  <c r="T71" i="10"/>
  <c r="T101" i="10"/>
  <c r="T102" i="10"/>
  <c r="P16" i="10"/>
  <c r="Q16" i="10"/>
  <c r="AA18" i="10"/>
  <c r="L18" i="10"/>
  <c r="AA19" i="10"/>
  <c r="L19" i="10"/>
  <c r="AA20" i="10"/>
  <c r="L20" i="10"/>
  <c r="T27" i="10"/>
  <c r="T36" i="10"/>
  <c r="AA68" i="10"/>
  <c r="L68" i="10"/>
  <c r="O73" i="10"/>
  <c r="P76" i="10"/>
  <c r="Q76" i="10"/>
  <c r="T84" i="10"/>
  <c r="T85" i="10"/>
  <c r="P89" i="10"/>
  <c r="Q89" i="10"/>
  <c r="P90" i="10"/>
  <c r="Q90" i="10"/>
  <c r="T93" i="10"/>
  <c r="T94" i="10"/>
  <c r="P97" i="10"/>
  <c r="Q97" i="10"/>
  <c r="P98" i="10"/>
  <c r="Q98" i="10"/>
  <c r="AA22" i="10"/>
  <c r="L22" i="10"/>
  <c r="M21" i="10"/>
  <c r="N21" i="10"/>
  <c r="L21" i="10"/>
  <c r="P48" i="10"/>
  <c r="Q48" i="10"/>
  <c r="O48" i="10"/>
  <c r="P31" i="10"/>
  <c r="Q31" i="10"/>
  <c r="O31" i="10"/>
  <c r="P37" i="10"/>
  <c r="Q37" i="10"/>
  <c r="O37" i="10"/>
  <c r="P41" i="10"/>
  <c r="Q41" i="10"/>
  <c r="O41" i="10"/>
  <c r="P53" i="10"/>
  <c r="Q53" i="10"/>
  <c r="O53" i="10"/>
  <c r="P57" i="10"/>
  <c r="Q57" i="10"/>
  <c r="O57" i="10"/>
  <c r="P30" i="10"/>
  <c r="Q30" i="10"/>
  <c r="O30" i="10"/>
  <c r="P36" i="10"/>
  <c r="Q36" i="10"/>
  <c r="O36" i="10"/>
  <c r="P40" i="10"/>
  <c r="Q40" i="10"/>
  <c r="O40" i="10"/>
  <c r="P44" i="10"/>
  <c r="Q44" i="10"/>
  <c r="O44" i="10"/>
  <c r="P52" i="10"/>
  <c r="Q52" i="10"/>
  <c r="O52" i="10"/>
  <c r="P56" i="10"/>
  <c r="Q56" i="10"/>
  <c r="O56" i="10"/>
  <c r="T68" i="10"/>
  <c r="T72" i="10"/>
  <c r="T73" i="10"/>
  <c r="P79" i="10"/>
  <c r="Q79" i="10"/>
  <c r="AA27" i="10"/>
  <c r="T32" i="10"/>
  <c r="T38" i="10"/>
  <c r="T42" i="10"/>
  <c r="AA43" i="10"/>
  <c r="L43" i="10"/>
  <c r="T46" i="10"/>
  <c r="AA47" i="10"/>
  <c r="L47" i="10"/>
  <c r="T50" i="10"/>
  <c r="AA51" i="10"/>
  <c r="L51" i="10"/>
  <c r="T54" i="10"/>
  <c r="AA55" i="10"/>
  <c r="L55" i="10"/>
  <c r="P66" i="10"/>
  <c r="Q66" i="10"/>
  <c r="P80" i="10"/>
  <c r="Q80" i="10"/>
  <c r="P99" i="10"/>
  <c r="Q99" i="10"/>
  <c r="AC67" i="10"/>
  <c r="O67" i="10"/>
  <c r="T69" i="10"/>
  <c r="AC71" i="10"/>
  <c r="O71" i="10"/>
  <c r="AA76" i="10"/>
  <c r="L76" i="10"/>
  <c r="AA84" i="10"/>
  <c r="L84" i="10"/>
  <c r="T66" i="10"/>
  <c r="AA67" i="10"/>
  <c r="L67" i="10"/>
  <c r="AC68" i="10"/>
  <c r="O68" i="10"/>
  <c r="P69" i="10"/>
  <c r="Q69" i="10"/>
  <c r="T70" i="10"/>
  <c r="AA71" i="10"/>
  <c r="L71" i="10"/>
  <c r="AC72" i="10"/>
  <c r="O72" i="10"/>
  <c r="T29" i="10"/>
  <c r="T35" i="10"/>
  <c r="T39" i="10"/>
  <c r="AA40" i="10"/>
  <c r="L40" i="10"/>
  <c r="AA44" i="10"/>
  <c r="L44" i="10"/>
  <c r="AA48" i="10"/>
  <c r="L48" i="10"/>
  <c r="AA52" i="10"/>
  <c r="L52" i="10"/>
  <c r="AA56" i="10"/>
  <c r="L56" i="10"/>
  <c r="P70" i="10"/>
  <c r="Q70" i="10"/>
  <c r="AA23" i="10"/>
  <c r="L23" i="10"/>
  <c r="AA24" i="10"/>
  <c r="L24" i="10"/>
  <c r="AA41" i="10"/>
  <c r="L41" i="10"/>
  <c r="AA45" i="10"/>
  <c r="L45" i="10"/>
  <c r="AA49" i="10"/>
  <c r="L49" i="10"/>
  <c r="AA53" i="10"/>
  <c r="L53" i="10"/>
  <c r="AA57" i="10"/>
  <c r="L57" i="10"/>
  <c r="AA74" i="10"/>
  <c r="L74" i="10"/>
  <c r="AA78" i="10"/>
  <c r="L78" i="10"/>
  <c r="M80" i="10"/>
  <c r="N80" i="10"/>
  <c r="AA82" i="10"/>
  <c r="L82" i="10"/>
  <c r="AA86" i="10"/>
  <c r="L86" i="10"/>
  <c r="AA89" i="10"/>
  <c r="L89" i="10"/>
  <c r="AA91" i="10"/>
  <c r="L91" i="10"/>
  <c r="AA93" i="10"/>
  <c r="L93" i="10"/>
  <c r="AA95" i="10"/>
  <c r="L95" i="10"/>
  <c r="AA97" i="10"/>
  <c r="L97" i="10"/>
  <c r="AA99" i="10"/>
  <c r="L99" i="10"/>
  <c r="AA101" i="10"/>
  <c r="L101" i="10"/>
  <c r="AA103" i="10"/>
  <c r="L103" i="10"/>
  <c r="AA15" i="10"/>
  <c r="L15" i="10"/>
  <c r="O18" i="10"/>
  <c r="P18" i="10"/>
  <c r="Q18" i="10"/>
  <c r="O19" i="10"/>
  <c r="P19" i="10"/>
  <c r="Q19" i="10"/>
  <c r="O20" i="10"/>
  <c r="P20" i="10"/>
  <c r="Q20" i="10"/>
  <c r="P77" i="10"/>
  <c r="Q77" i="10"/>
  <c r="L79" i="10"/>
  <c r="P81" i="10"/>
  <c r="Q81" i="10"/>
  <c r="P85" i="10"/>
  <c r="Q85" i="10"/>
  <c r="AA88" i="10"/>
  <c r="L88" i="10"/>
  <c r="AA90" i="10"/>
  <c r="L90" i="10"/>
  <c r="AA92" i="10"/>
  <c r="L92" i="10"/>
  <c r="AA94" i="10"/>
  <c r="L94" i="10"/>
  <c r="AA96" i="10"/>
  <c r="L96" i="10"/>
  <c r="AA98" i="10"/>
  <c r="L98" i="10"/>
  <c r="AA100" i="10"/>
  <c r="L100" i="10"/>
  <c r="AA102" i="10"/>
  <c r="L102" i="10"/>
  <c r="AA104" i="10"/>
  <c r="L104" i="10"/>
  <c r="AA16" i="10"/>
  <c r="L16" i="10"/>
  <c r="O21" i="10"/>
  <c r="P21" i="10"/>
  <c r="Q21" i="10"/>
  <c r="M68" i="10"/>
  <c r="N68" i="10"/>
  <c r="M72" i="10"/>
  <c r="N72" i="10"/>
  <c r="P74" i="10"/>
  <c r="Q74" i="10"/>
  <c r="P78" i="10"/>
  <c r="Q78" i="10"/>
  <c r="P82" i="10"/>
  <c r="Q82" i="10"/>
  <c r="P86" i="10"/>
  <c r="Q86" i="10"/>
  <c r="AA32" i="10"/>
  <c r="L32" i="10"/>
  <c r="T23" i="10"/>
  <c r="AC24" i="10"/>
  <c r="O24" i="10"/>
  <c r="AA35" i="10"/>
  <c r="L35" i="10"/>
  <c r="T24" i="10"/>
  <c r="M25" i="10"/>
  <c r="N25" i="10"/>
  <c r="AC25" i="10"/>
  <c r="O25" i="10"/>
  <c r="AA28" i="10"/>
  <c r="L28" i="10"/>
  <c r="AA30" i="10"/>
  <c r="L30" i="10"/>
  <c r="AA36" i="10"/>
  <c r="L36" i="10"/>
  <c r="AC22" i="10"/>
  <c r="O22" i="10"/>
  <c r="P23" i="10"/>
  <c r="Q23" i="10"/>
  <c r="T25" i="10"/>
  <c r="AC26" i="10"/>
  <c r="O26" i="10"/>
  <c r="AA31" i="10"/>
  <c r="L31" i="10"/>
  <c r="AA37" i="10"/>
  <c r="L37" i="10"/>
  <c r="M42" i="10"/>
  <c r="N42" i="10"/>
  <c r="M46" i="10"/>
  <c r="N46" i="10"/>
  <c r="M54" i="10"/>
  <c r="N54" i="10"/>
  <c r="AS74" i="9"/>
  <c r="AR74" i="9"/>
  <c r="AQ74" i="9"/>
  <c r="AS73" i="9"/>
  <c r="AR73" i="9"/>
  <c r="AQ73" i="9"/>
  <c r="AS72" i="9"/>
  <c r="AR72" i="9"/>
  <c r="AQ72" i="9"/>
  <c r="AS71" i="9"/>
  <c r="AR71" i="9"/>
  <c r="AQ71" i="9"/>
  <c r="AS70" i="9"/>
  <c r="AR70" i="9"/>
  <c r="AQ70" i="9"/>
  <c r="AS69" i="9"/>
  <c r="AR69" i="9"/>
  <c r="AQ69" i="9"/>
  <c r="AS68" i="9"/>
  <c r="AR68" i="9"/>
  <c r="AQ68" i="9"/>
  <c r="AS67" i="9"/>
  <c r="AR67" i="9"/>
  <c r="AQ67" i="9"/>
  <c r="AS66" i="9"/>
  <c r="AR66" i="9"/>
  <c r="AQ66" i="9"/>
  <c r="AS65" i="9"/>
  <c r="AR65" i="9"/>
  <c r="AQ65" i="9"/>
  <c r="AS64" i="9"/>
  <c r="AR64" i="9"/>
  <c r="AQ64" i="9"/>
  <c r="AS63" i="9"/>
  <c r="AR63" i="9"/>
  <c r="AQ63" i="9"/>
  <c r="AS62" i="9"/>
  <c r="AR62" i="9"/>
  <c r="AQ62" i="9"/>
  <c r="AS61" i="9"/>
  <c r="AR61" i="9"/>
  <c r="AQ61" i="9"/>
  <c r="AS60" i="9"/>
  <c r="AR60" i="9"/>
  <c r="AQ60" i="9"/>
  <c r="AS59" i="9"/>
  <c r="AR59" i="9"/>
  <c r="AQ59" i="9"/>
  <c r="AS58" i="9"/>
  <c r="AR58" i="9"/>
  <c r="AQ58" i="9"/>
  <c r="AS57" i="9"/>
  <c r="AR57" i="9"/>
  <c r="AQ57" i="9"/>
  <c r="AS56" i="9"/>
  <c r="AR56" i="9"/>
  <c r="AQ56" i="9"/>
  <c r="AS45" i="9"/>
  <c r="AR45" i="9"/>
  <c r="AQ45" i="9"/>
  <c r="AS44" i="9"/>
  <c r="AR44" i="9"/>
  <c r="AQ44" i="9"/>
  <c r="AS43" i="9"/>
  <c r="AR43" i="9"/>
  <c r="AQ43" i="9"/>
  <c r="AS42" i="9"/>
  <c r="AR42" i="9"/>
  <c r="AQ42" i="9"/>
  <c r="AS41" i="9"/>
  <c r="AR41" i="9"/>
  <c r="AQ41" i="9"/>
  <c r="AS40" i="9"/>
  <c r="AR40" i="9"/>
  <c r="AQ40" i="9"/>
  <c r="AS39" i="9"/>
  <c r="AR39" i="9"/>
  <c r="AQ39" i="9"/>
  <c r="AS38" i="9"/>
  <c r="AR38" i="9"/>
  <c r="AQ38" i="9"/>
  <c r="AS37" i="9"/>
  <c r="AR37" i="9"/>
  <c r="AQ37" i="9"/>
  <c r="AS36" i="9"/>
  <c r="AR36" i="9"/>
  <c r="AQ36" i="9"/>
  <c r="AS35" i="9"/>
  <c r="AR35" i="9"/>
  <c r="AQ35" i="9"/>
  <c r="AS34" i="9"/>
  <c r="AR34" i="9"/>
  <c r="AQ34" i="9"/>
  <c r="AS33" i="9"/>
  <c r="AR33" i="9"/>
  <c r="AQ33" i="9"/>
  <c r="AS32" i="9"/>
  <c r="AR32" i="9"/>
  <c r="AQ32" i="9"/>
  <c r="AS31" i="9"/>
  <c r="AR31" i="9"/>
  <c r="AQ31" i="9"/>
  <c r="AS30" i="9"/>
  <c r="AR30" i="9"/>
  <c r="AQ30" i="9"/>
  <c r="AS29" i="9"/>
  <c r="AR29" i="9"/>
  <c r="AQ29" i="9"/>
  <c r="AS28" i="9"/>
  <c r="AR28" i="9"/>
  <c r="AQ28" i="9"/>
  <c r="AS27" i="9"/>
  <c r="AR27" i="9"/>
  <c r="AQ27" i="9"/>
  <c r="AS26" i="9"/>
  <c r="AR26" i="9"/>
  <c r="AQ26" i="9"/>
  <c r="AS25" i="9"/>
  <c r="AR25" i="9"/>
  <c r="AQ25" i="9"/>
  <c r="AS24" i="9"/>
  <c r="AR24" i="9"/>
  <c r="AQ24" i="9"/>
  <c r="AS23" i="9"/>
  <c r="AR23" i="9"/>
  <c r="AQ23" i="9"/>
  <c r="AS22" i="9"/>
  <c r="AR22" i="9"/>
  <c r="AQ22" i="9"/>
  <c r="AS21" i="9"/>
  <c r="AR21" i="9"/>
  <c r="AQ21" i="9"/>
  <c r="AO41" i="9"/>
  <c r="T39" i="9"/>
  <c r="AO39" i="9"/>
  <c r="T36" i="9"/>
  <c r="AO36" i="9"/>
  <c r="AO34" i="9"/>
  <c r="T31" i="9"/>
  <c r="AO31" i="9"/>
  <c r="T30" i="9"/>
  <c r="AO30" i="9"/>
  <c r="T29" i="9"/>
  <c r="AN29" i="9"/>
  <c r="AO28" i="9"/>
  <c r="T27" i="9"/>
  <c r="AO27" i="9"/>
  <c r="T24" i="9"/>
  <c r="AO23" i="9"/>
  <c r="AO22" i="9"/>
  <c r="AO21" i="9"/>
  <c r="T45" i="9"/>
  <c r="AN45" i="9"/>
  <c r="T43" i="9"/>
  <c r="AN43" i="9"/>
  <c r="AN42" i="9"/>
  <c r="AN41" i="9"/>
  <c r="AN39" i="9"/>
  <c r="AN34" i="9"/>
  <c r="AN28" i="9"/>
  <c r="AN23" i="9"/>
  <c r="AN22" i="9"/>
  <c r="AN21" i="9"/>
  <c r="AY45" i="9"/>
  <c r="AZ45" i="9"/>
  <c r="AV45" i="9"/>
  <c r="AW45" i="9"/>
  <c r="AY23" i="9"/>
  <c r="AZ23" i="9"/>
  <c r="AV23" i="9"/>
  <c r="AW23" i="9"/>
  <c r="AY22" i="9"/>
  <c r="AZ22" i="9"/>
  <c r="AV22" i="9"/>
  <c r="AW22" i="9"/>
  <c r="AY21" i="9"/>
  <c r="AZ21" i="9"/>
  <c r="AV21" i="9"/>
  <c r="AW21" i="9"/>
  <c r="AY27" i="9"/>
  <c r="AZ27" i="9"/>
  <c r="AD27" i="9"/>
  <c r="AY28" i="9"/>
  <c r="AZ28" i="9"/>
  <c r="AD28" i="9"/>
  <c r="AV39" i="9"/>
  <c r="AW39" i="9"/>
  <c r="AV24" i="9"/>
  <c r="AW24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M44" i="9"/>
  <c r="AM40" i="9"/>
  <c r="AM38" i="9"/>
  <c r="AM37" i="9"/>
  <c r="AM35" i="9"/>
  <c r="AM33" i="9"/>
  <c r="AM32" i="9"/>
  <c r="AM26" i="9"/>
  <c r="AM25" i="9"/>
  <c r="AL44" i="9"/>
  <c r="AL40" i="9"/>
  <c r="AL38" i="9"/>
  <c r="AL37" i="9"/>
  <c r="AL35" i="9"/>
  <c r="AL33" i="9"/>
  <c r="AL32" i="9"/>
  <c r="AL26" i="9"/>
  <c r="AL25" i="9"/>
  <c r="AK44" i="9"/>
  <c r="AK40" i="9"/>
  <c r="AK38" i="9"/>
  <c r="AK37" i="9"/>
  <c r="AK35" i="9"/>
  <c r="AK33" i="9"/>
  <c r="AK32" i="9"/>
  <c r="AK26" i="9"/>
  <c r="AK25" i="9"/>
  <c r="AH45" i="9"/>
  <c r="AH23" i="9"/>
  <c r="AH22" i="9"/>
  <c r="AH21" i="9"/>
  <c r="AG45" i="9"/>
  <c r="AG23" i="9"/>
  <c r="AG22" i="9"/>
  <c r="AG21" i="9"/>
  <c r="AH74" i="9"/>
  <c r="AG74" i="9"/>
  <c r="AH73" i="9"/>
  <c r="AG73" i="9"/>
  <c r="AH72" i="9"/>
  <c r="AG72" i="9"/>
  <c r="AH71" i="9"/>
  <c r="AG71" i="9"/>
  <c r="AH58" i="9"/>
  <c r="AG58" i="9"/>
  <c r="AH57" i="9"/>
  <c r="AG57" i="9"/>
  <c r="AH56" i="9"/>
  <c r="AG56" i="9"/>
  <c r="AH24" i="9"/>
  <c r="AG24" i="9"/>
  <c r="AI74" i="9"/>
  <c r="AI73" i="9"/>
  <c r="AI72" i="9"/>
  <c r="AI71" i="9"/>
  <c r="AI70" i="9"/>
  <c r="AI69" i="9"/>
  <c r="AI68" i="9"/>
  <c r="AI67" i="9"/>
  <c r="AI66" i="9"/>
  <c r="AI65" i="9"/>
  <c r="AI64" i="9"/>
  <c r="AI63" i="9"/>
  <c r="AI62" i="9"/>
  <c r="AI61" i="9"/>
  <c r="AI60" i="9"/>
  <c r="AI59" i="9"/>
  <c r="AI58" i="9"/>
  <c r="AI57" i="9"/>
  <c r="AI56" i="9"/>
  <c r="AO42" i="9"/>
  <c r="AO43" i="9"/>
  <c r="AO45" i="9"/>
  <c r="AY43" i="9"/>
  <c r="AZ43" i="9"/>
  <c r="AY42" i="9"/>
  <c r="AZ42" i="9"/>
  <c r="AY41" i="9"/>
  <c r="AZ41" i="9"/>
  <c r="AY39" i="9"/>
  <c r="AZ39" i="9"/>
  <c r="AY36" i="9"/>
  <c r="AZ36" i="9"/>
  <c r="AD36" i="9"/>
  <c r="AY34" i="9"/>
  <c r="AZ34" i="9"/>
  <c r="AY31" i="9"/>
  <c r="AZ31" i="9"/>
  <c r="AY30" i="9"/>
  <c r="AZ30" i="9"/>
  <c r="AD30" i="9"/>
  <c r="AY29" i="9"/>
  <c r="AZ29" i="9"/>
  <c r="AY24" i="9"/>
  <c r="AZ24" i="9"/>
  <c r="AH43" i="9"/>
  <c r="AG43" i="9"/>
  <c r="AH42" i="9"/>
  <c r="AG42" i="9"/>
  <c r="AH41" i="9"/>
  <c r="AG41" i="9"/>
  <c r="AH39" i="9"/>
  <c r="AG39" i="9"/>
  <c r="AH36" i="9"/>
  <c r="AG36" i="9"/>
  <c r="AH34" i="9"/>
  <c r="AG34" i="9"/>
  <c r="AH31" i="9"/>
  <c r="AG31" i="9"/>
  <c r="AH30" i="9"/>
  <c r="AG30" i="9"/>
  <c r="AH29" i="9"/>
  <c r="AG29" i="9"/>
  <c r="AH28" i="9"/>
  <c r="AG28" i="9"/>
  <c r="AH27" i="9"/>
  <c r="AG27" i="9"/>
  <c r="AE28" i="9"/>
  <c r="AF28" i="9"/>
  <c r="D21" i="9"/>
  <c r="AK21" i="9"/>
  <c r="AL21" i="9"/>
  <c r="AM21" i="9"/>
  <c r="D22" i="9"/>
  <c r="AK22" i="9"/>
  <c r="AL22" i="9"/>
  <c r="AM22" i="9"/>
  <c r="D23" i="9"/>
  <c r="AK23" i="9"/>
  <c r="AL23" i="9"/>
  <c r="AM23" i="9"/>
  <c r="D24" i="9"/>
  <c r="AK24" i="9"/>
  <c r="AL24" i="9"/>
  <c r="AM24" i="9"/>
  <c r="D27" i="9"/>
  <c r="AV27" i="9"/>
  <c r="AW27" i="9"/>
  <c r="AK27" i="9"/>
  <c r="AL27" i="9"/>
  <c r="AM27" i="9"/>
  <c r="D28" i="9"/>
  <c r="AV28" i="9"/>
  <c r="AW28" i="9"/>
  <c r="AK28" i="9"/>
  <c r="AL28" i="9"/>
  <c r="AM28" i="9"/>
  <c r="D29" i="9"/>
  <c r="AV29" i="9"/>
  <c r="AW29" i="9"/>
  <c r="AK29" i="9"/>
  <c r="AL29" i="9"/>
  <c r="AM29" i="9"/>
  <c r="D30" i="9"/>
  <c r="AV30" i="9"/>
  <c r="AW30" i="9"/>
  <c r="AK30" i="9"/>
  <c r="AL30" i="9"/>
  <c r="AM30" i="9"/>
  <c r="D31" i="9"/>
  <c r="AV31" i="9"/>
  <c r="AW31" i="9"/>
  <c r="AK31" i="9"/>
  <c r="AL31" i="9"/>
  <c r="AM31" i="9"/>
  <c r="D34" i="9"/>
  <c r="AV34" i="9"/>
  <c r="AW34" i="9"/>
  <c r="AK34" i="9"/>
  <c r="AL34" i="9"/>
  <c r="AM34" i="9"/>
  <c r="D36" i="9"/>
  <c r="AV36" i="9"/>
  <c r="AW36" i="9"/>
  <c r="AK36" i="9"/>
  <c r="AL36" i="9"/>
  <c r="AM36" i="9"/>
  <c r="D39" i="9"/>
  <c r="AK39" i="9"/>
  <c r="AL39" i="9"/>
  <c r="AM39" i="9"/>
  <c r="D41" i="9"/>
  <c r="AV41" i="9"/>
  <c r="AW41" i="9"/>
  <c r="AK41" i="9"/>
  <c r="AL41" i="9"/>
  <c r="AM41" i="9"/>
  <c r="D42" i="9"/>
  <c r="AV42" i="9"/>
  <c r="AW42" i="9"/>
  <c r="AK42" i="9"/>
  <c r="AL42" i="9"/>
  <c r="AM42" i="9"/>
  <c r="D43" i="9"/>
  <c r="AV43" i="9"/>
  <c r="AW43" i="9"/>
  <c r="AK43" i="9"/>
  <c r="AL43" i="9"/>
  <c r="AM43" i="9"/>
  <c r="D45" i="9"/>
  <c r="AK45" i="9"/>
  <c r="AL45" i="9"/>
  <c r="AM45" i="9"/>
  <c r="Q74" i="9"/>
  <c r="Q73" i="9"/>
  <c r="Q72" i="9"/>
  <c r="Q70" i="9"/>
  <c r="Q69" i="9"/>
  <c r="Q68" i="9"/>
  <c r="Q67" i="9"/>
  <c r="Q66" i="9"/>
  <c r="Q63" i="9"/>
  <c r="Q61" i="9"/>
  <c r="Q59" i="9"/>
  <c r="Q58" i="9"/>
  <c r="Q57" i="9"/>
  <c r="M40" i="10"/>
  <c r="N40" i="10"/>
  <c r="M47" i="10"/>
  <c r="N47" i="10"/>
  <c r="M39" i="10"/>
  <c r="N39" i="10"/>
  <c r="M48" i="10"/>
  <c r="N48" i="10"/>
  <c r="M50" i="10"/>
  <c r="N50" i="10"/>
  <c r="M19" i="10"/>
  <c r="N19" i="10"/>
  <c r="M49" i="10"/>
  <c r="N49" i="10"/>
  <c r="M56" i="10"/>
  <c r="N56" i="10"/>
  <c r="M26" i="10"/>
  <c r="N26" i="10"/>
  <c r="M23" i="10"/>
  <c r="N23" i="10"/>
  <c r="M70" i="10"/>
  <c r="N70" i="10"/>
  <c r="M69" i="10"/>
  <c r="N69" i="10"/>
  <c r="M73" i="10"/>
  <c r="N73" i="10"/>
  <c r="M66" i="10"/>
  <c r="N66" i="10"/>
  <c r="M38" i="10"/>
  <c r="N38" i="10"/>
  <c r="M41" i="10"/>
  <c r="N41" i="10"/>
  <c r="M57" i="10"/>
  <c r="N57" i="10"/>
  <c r="M51" i="10"/>
  <c r="N51" i="10"/>
  <c r="M22" i="10"/>
  <c r="N22" i="10"/>
  <c r="M81" i="10"/>
  <c r="N81" i="10"/>
  <c r="M18" i="10"/>
  <c r="N18" i="10"/>
  <c r="L83" i="10"/>
  <c r="L75" i="10"/>
  <c r="M43" i="10"/>
  <c r="N43" i="10"/>
  <c r="M17" i="10"/>
  <c r="N17" i="10"/>
  <c r="M92" i="10"/>
  <c r="N92" i="10"/>
  <c r="M55" i="10"/>
  <c r="N55" i="10"/>
  <c r="M45" i="10"/>
  <c r="N45" i="10"/>
  <c r="M20" i="10"/>
  <c r="N20" i="10"/>
  <c r="M84" i="10"/>
  <c r="N84" i="10"/>
  <c r="M76" i="10"/>
  <c r="N76" i="10"/>
  <c r="M44" i="10"/>
  <c r="N44" i="10"/>
  <c r="M37" i="10"/>
  <c r="N37" i="10"/>
  <c r="P72" i="10"/>
  <c r="Q72" i="10"/>
  <c r="M88" i="10"/>
  <c r="N88" i="10"/>
  <c r="AX31" i="9"/>
  <c r="AA31" i="9"/>
  <c r="AX27" i="9"/>
  <c r="M28" i="10"/>
  <c r="N28" i="10"/>
  <c r="M104" i="10"/>
  <c r="N104" i="10"/>
  <c r="M96" i="10"/>
  <c r="N96" i="10"/>
  <c r="M77" i="10"/>
  <c r="N77" i="10"/>
  <c r="M24" i="10"/>
  <c r="N24" i="10"/>
  <c r="M53" i="10"/>
  <c r="N53" i="10"/>
  <c r="M86" i="10"/>
  <c r="N86" i="10"/>
  <c r="P71" i="10"/>
  <c r="Q71" i="10"/>
  <c r="M52" i="10"/>
  <c r="N52" i="10"/>
  <c r="M36" i="10"/>
  <c r="N36" i="10"/>
  <c r="M35" i="10"/>
  <c r="N35" i="10"/>
  <c r="M32" i="10"/>
  <c r="N32" i="10"/>
  <c r="M71" i="10"/>
  <c r="N71" i="10"/>
  <c r="M67" i="10"/>
  <c r="N67" i="10"/>
  <c r="M100" i="10"/>
  <c r="N100" i="10"/>
  <c r="P67" i="10"/>
  <c r="Q67" i="10"/>
  <c r="P68" i="10"/>
  <c r="Q68" i="10"/>
  <c r="M31" i="10"/>
  <c r="N31" i="10"/>
  <c r="M30" i="10"/>
  <c r="N30" i="10"/>
  <c r="P26" i="10"/>
  <c r="Q26" i="10"/>
  <c r="P22" i="10"/>
  <c r="Q22" i="10"/>
  <c r="P24" i="10"/>
  <c r="Q24" i="10"/>
  <c r="M103" i="10"/>
  <c r="N103" i="10"/>
  <c r="M99" i="10"/>
  <c r="N99" i="10"/>
  <c r="M95" i="10"/>
  <c r="N95" i="10"/>
  <c r="M91" i="10"/>
  <c r="N91" i="10"/>
  <c r="M78" i="10"/>
  <c r="N78" i="10"/>
  <c r="M82" i="10"/>
  <c r="N82" i="10"/>
  <c r="P25" i="10"/>
  <c r="Q25" i="10"/>
  <c r="M16" i="10"/>
  <c r="N16" i="10"/>
  <c r="M102" i="10"/>
  <c r="N102" i="10"/>
  <c r="M98" i="10"/>
  <c r="N98" i="10"/>
  <c r="M94" i="10"/>
  <c r="N94" i="10"/>
  <c r="M90" i="10"/>
  <c r="N90" i="10"/>
  <c r="M15" i="10"/>
  <c r="N15" i="10"/>
  <c r="M101" i="10"/>
  <c r="N101" i="10"/>
  <c r="M97" i="10"/>
  <c r="N97" i="10"/>
  <c r="M93" i="10"/>
  <c r="N93" i="10"/>
  <c r="M89" i="10"/>
  <c r="N89" i="10"/>
  <c r="M74" i="10"/>
  <c r="N74" i="10"/>
  <c r="AX45" i="9"/>
  <c r="AB45" i="9"/>
  <c r="AC45" i="9"/>
  <c r="AX39" i="9"/>
  <c r="AA39" i="9"/>
  <c r="AX21" i="9"/>
  <c r="AA21" i="9"/>
  <c r="AX34" i="9"/>
  <c r="AA34" i="9"/>
  <c r="AX30" i="9"/>
  <c r="AA30" i="9"/>
  <c r="AI30" i="9"/>
  <c r="AX23" i="9"/>
  <c r="AA23" i="9"/>
  <c r="AD31" i="9"/>
  <c r="AE31" i="9"/>
  <c r="AF31" i="9"/>
  <c r="AX43" i="9"/>
  <c r="AB43" i="9"/>
  <c r="AC43" i="9"/>
  <c r="AX28" i="9"/>
  <c r="AA28" i="9"/>
  <c r="AI28" i="9"/>
  <c r="AX42" i="9"/>
  <c r="AB42" i="9"/>
  <c r="AC42" i="9"/>
  <c r="AX36" i="9"/>
  <c r="AA36" i="9"/>
  <c r="AI36" i="9"/>
  <c r="AB31" i="9"/>
  <c r="AC31" i="9"/>
  <c r="AX29" i="9"/>
  <c r="AA29" i="9"/>
  <c r="AE30" i="9"/>
  <c r="AF30" i="9"/>
  <c r="AA27" i="9"/>
  <c r="AI27" i="9"/>
  <c r="AB27" i="9"/>
  <c r="AC27" i="9"/>
  <c r="AE36" i="9"/>
  <c r="AF36" i="9"/>
  <c r="AN27" i="9"/>
  <c r="AN30" i="9"/>
  <c r="AD29" i="9"/>
  <c r="AE29" i="9"/>
  <c r="AF29" i="9"/>
  <c r="AD39" i="9"/>
  <c r="AE39" i="9"/>
  <c r="AF39" i="9"/>
  <c r="AD41" i="9"/>
  <c r="AE41" i="9"/>
  <c r="AF41" i="9"/>
  <c r="AD43" i="9"/>
  <c r="AE43" i="9"/>
  <c r="AF43" i="9"/>
  <c r="AX41" i="9"/>
  <c r="AA41" i="9"/>
  <c r="AA45" i="9"/>
  <c r="AX24" i="9"/>
  <c r="AA24" i="9"/>
  <c r="AN31" i="9"/>
  <c r="AO29" i="9"/>
  <c r="AE27" i="9"/>
  <c r="AF27" i="9"/>
  <c r="AN36" i="9"/>
  <c r="AD24" i="9"/>
  <c r="AE24" i="9"/>
  <c r="AF24" i="9"/>
  <c r="AD34" i="9"/>
  <c r="AE34" i="9"/>
  <c r="AF34" i="9"/>
  <c r="AD42" i="9"/>
  <c r="AE42" i="9"/>
  <c r="AF42" i="9"/>
  <c r="AA43" i="9"/>
  <c r="AI31" i="9"/>
  <c r="AA42" i="9"/>
  <c r="AE45" i="9"/>
  <c r="AF45" i="9"/>
  <c r="AD45" i="9"/>
  <c r="AE22" i="9"/>
  <c r="AF22" i="9"/>
  <c r="AD22" i="9"/>
  <c r="AB21" i="9"/>
  <c r="AC21" i="9"/>
  <c r="AX22" i="9"/>
  <c r="AA22" i="9"/>
  <c r="AB23" i="9"/>
  <c r="AC23" i="9"/>
  <c r="AN24" i="9"/>
  <c r="AO24" i="9"/>
  <c r="AD21" i="9"/>
  <c r="AI21" i="9"/>
  <c r="AE21" i="9"/>
  <c r="AF21" i="9"/>
  <c r="AD23" i="9"/>
  <c r="AI23" i="9"/>
  <c r="AE23" i="9"/>
  <c r="AF23" i="9"/>
  <c r="AI34" i="9"/>
  <c r="AB34" i="9"/>
  <c r="AC34" i="9"/>
  <c r="AB41" i="9"/>
  <c r="AC41" i="9"/>
  <c r="AB36" i="9"/>
  <c r="AC36" i="9"/>
  <c r="AB30" i="9"/>
  <c r="AC30" i="9"/>
  <c r="AI45" i="9"/>
  <c r="AI39" i="9"/>
  <c r="AB39" i="9"/>
  <c r="AC39" i="9"/>
  <c r="AI29" i="9"/>
  <c r="AI41" i="9"/>
  <c r="AB24" i="9"/>
  <c r="AC24" i="9"/>
  <c r="AB28" i="9"/>
  <c r="AC28" i="9"/>
  <c r="AB29" i="9"/>
  <c r="AC29" i="9"/>
  <c r="AI43" i="9"/>
  <c r="AI24" i="9"/>
  <c r="AI22" i="9"/>
  <c r="AI42" i="9"/>
  <c r="AB22" i="9"/>
  <c r="AC22" i="9"/>
</calcChain>
</file>

<file path=xl/sharedStrings.xml><?xml version="1.0" encoding="utf-8"?>
<sst xmlns="http://schemas.openxmlformats.org/spreadsheetml/2006/main" count="516" uniqueCount="246">
  <si>
    <t>Ba/Al</t>
  </si>
  <si>
    <t>Bottom</t>
  </si>
  <si>
    <t xml:space="preserve">Top </t>
  </si>
  <si>
    <t>cm</t>
  </si>
  <si>
    <t>Sapropel 5</t>
  </si>
  <si>
    <t>70-71</t>
  </si>
  <si>
    <t>71-72</t>
  </si>
  <si>
    <t>72-73</t>
  </si>
  <si>
    <t>76-77</t>
  </si>
  <si>
    <t>78-79</t>
  </si>
  <si>
    <t>84-85</t>
  </si>
  <si>
    <t>85-86</t>
  </si>
  <si>
    <t>86-87</t>
  </si>
  <si>
    <t>87-88</t>
  </si>
  <si>
    <t>90-91</t>
  </si>
  <si>
    <t>93-94</t>
  </si>
  <si>
    <t>94-95</t>
  </si>
  <si>
    <t>96-97</t>
  </si>
  <si>
    <t>97-98</t>
  </si>
  <si>
    <t>101-102</t>
  </si>
  <si>
    <t>106-107</t>
  </si>
  <si>
    <t>107-108</t>
  </si>
  <si>
    <t>108-109</t>
  </si>
  <si>
    <t>109-110</t>
  </si>
  <si>
    <t>Sample ID</t>
  </si>
  <si>
    <t>Mo/U</t>
  </si>
  <si>
    <t>U authigenic</t>
  </si>
  <si>
    <t>error</t>
  </si>
  <si>
    <t>Mo authigenic</t>
  </si>
  <si>
    <t>2SE</t>
  </si>
  <si>
    <t>Isotope Data</t>
  </si>
  <si>
    <t>U</t>
  </si>
  <si>
    <t>Mo</t>
  </si>
  <si>
    <t>Wt%</t>
  </si>
  <si>
    <t>Depth cm</t>
  </si>
  <si>
    <t>Mean</t>
  </si>
  <si>
    <t>U EF</t>
  </si>
  <si>
    <t>Mo EF</t>
  </si>
  <si>
    <t>Detrital U</t>
  </si>
  <si>
    <t>Carb U</t>
  </si>
  <si>
    <t>In situ aut. U</t>
  </si>
  <si>
    <t>Fractions calculations</t>
  </si>
  <si>
    <t>Detrital Mo</t>
  </si>
  <si>
    <t>Ratios</t>
  </si>
  <si>
    <t>Fe/Al</t>
  </si>
  <si>
    <t>Authigenic Mo</t>
  </si>
  <si>
    <t>Ba</t>
  </si>
  <si>
    <t>Sr</t>
  </si>
  <si>
    <t>Mn</t>
  </si>
  <si>
    <t>Core 967C 1H-5, 2550 M depth</t>
  </si>
  <si>
    <t xml:space="preserve">Concentration Data </t>
  </si>
  <si>
    <t>ppm</t>
  </si>
  <si>
    <t xml:space="preserve">Al </t>
  </si>
  <si>
    <t>Ca</t>
  </si>
  <si>
    <t>Fe</t>
  </si>
  <si>
    <t xml:space="preserve">Detrital U/Al used: 10.8E-6 </t>
  </si>
  <si>
    <t xml:space="preserve">Detrital Mo/Al used: 11.9E-6 </t>
  </si>
  <si>
    <t xml:space="preserve">Carbonate U/Ca used: 3.25E-6 </t>
  </si>
  <si>
    <t xml:space="preserve">U </t>
  </si>
  <si>
    <t>Core Data</t>
  </si>
  <si>
    <t xml:space="preserve">U/TOC </t>
  </si>
  <si>
    <t>U/Al</t>
  </si>
  <si>
    <t xml:space="preserve"> (ppm/wt%)</t>
  </si>
  <si>
    <t>Mo/Al</t>
  </si>
  <si>
    <t>(ppm/ppm)</t>
  </si>
  <si>
    <t xml:space="preserve">Mo/TOC  </t>
  </si>
  <si>
    <t>CRM 145 normalised</t>
  </si>
  <si>
    <t>See text for further information on d238U and d98Mo</t>
  </si>
  <si>
    <r>
      <rPr>
        <b/>
        <sz val="10"/>
        <color rgb="FF3366FF"/>
        <rFont val="Symbol"/>
        <charset val="2"/>
      </rPr>
      <t>d</t>
    </r>
    <r>
      <rPr>
        <b/>
        <sz val="10"/>
        <color rgb="FF3366FF"/>
        <rFont val="Verdana"/>
        <family val="2"/>
      </rPr>
      <t>238U</t>
    </r>
  </si>
  <si>
    <r>
      <rPr>
        <b/>
        <sz val="10"/>
        <color rgb="FF3366FF"/>
        <rFont val="Symbol"/>
        <charset val="2"/>
      </rPr>
      <t>d</t>
    </r>
    <r>
      <rPr>
        <b/>
        <sz val="10"/>
        <color rgb="FF3366FF"/>
        <rFont val="Verdana"/>
        <family val="2"/>
      </rPr>
      <t>98Mo</t>
    </r>
  </si>
  <si>
    <t xml:space="preserve">**The in-house CZ-1 uraninite standard, processed through U-Teva chemistry and measured in a similar fashion to the sediment samples, yielded a d234U of -0.2±2..5 (2S.D.) for ten repeats. This external reproducibility is used for the unknowns </t>
  </si>
  <si>
    <t>TOC***</t>
  </si>
  <si>
    <r>
      <rPr>
        <b/>
        <sz val="10"/>
        <color theme="6" tint="-0.499984740745262"/>
        <rFont val="Symbol"/>
        <charset val="2"/>
      </rPr>
      <t>d</t>
    </r>
    <r>
      <rPr>
        <b/>
        <sz val="10"/>
        <color theme="6" tint="-0.499984740745262"/>
        <rFont val="Verdana"/>
        <family val="2"/>
      </rPr>
      <t>238U</t>
    </r>
  </si>
  <si>
    <r>
      <rPr>
        <b/>
        <sz val="10"/>
        <color theme="6" tint="-0.499984740745262"/>
        <rFont val="Symbol"/>
        <charset val="2"/>
      </rPr>
      <t>d</t>
    </r>
    <r>
      <rPr>
        <b/>
        <sz val="10"/>
        <color theme="6" tint="-0.499984740745262"/>
        <rFont val="Verdana"/>
        <family val="2"/>
      </rPr>
      <t>98Mo</t>
    </r>
  </si>
  <si>
    <t>Mean Depth</t>
  </si>
  <si>
    <t>Core Section Depth cm</t>
  </si>
  <si>
    <t>Sapropel 1</t>
  </si>
  <si>
    <t>2550 m depth</t>
  </si>
  <si>
    <t>biogenic (U/Ca)</t>
  </si>
  <si>
    <t>ODP 967D 1H-1</t>
  </si>
  <si>
    <t>U fractions</t>
  </si>
  <si>
    <t>detrital (U ppm/Al)</t>
  </si>
  <si>
    <t>Mo fractions</t>
  </si>
  <si>
    <t>detrital (Mo ppm/Al)</t>
  </si>
  <si>
    <t>delta</t>
  </si>
  <si>
    <t>Mo EF / U EF</t>
  </si>
  <si>
    <t>NIST SRM 3137</t>
  </si>
  <si>
    <t>Zaonega fm, Onega Basin, Shunga event, 2.05 Ga</t>
  </si>
  <si>
    <t>3 Gorges</t>
  </si>
  <si>
    <t>3 gorges</t>
  </si>
  <si>
    <t>Percentage Fractions</t>
  </si>
  <si>
    <t>SRM 3134 normalised</t>
  </si>
  <si>
    <t>This study</t>
  </si>
  <si>
    <t>S</t>
  </si>
  <si>
    <t>As</t>
  </si>
  <si>
    <t>V</t>
  </si>
  <si>
    <t>TOC*</t>
  </si>
  <si>
    <t>1396 is defined as part of sapropel but looks like porewater U-Mo uptake</t>
  </si>
  <si>
    <t>As/Al</t>
  </si>
  <si>
    <t>V/Al</t>
  </si>
  <si>
    <t>NIST SRM 3134 normalised</t>
  </si>
  <si>
    <t>dark grey: sapropel;light grey pre-sapropel</t>
  </si>
  <si>
    <t>U/Al**</t>
  </si>
  <si>
    <t>Mo/Al**</t>
  </si>
  <si>
    <t>As/Al**</t>
  </si>
  <si>
    <t>Fe/Al**</t>
  </si>
  <si>
    <t>Ba/Al**</t>
  </si>
  <si>
    <t>V/Al**</t>
  </si>
  <si>
    <t>S**</t>
  </si>
  <si>
    <r>
      <rPr>
        <b/>
        <sz val="10"/>
        <color rgb="FF3366FF"/>
        <rFont val="Symbol"/>
        <charset val="2"/>
      </rPr>
      <t>d</t>
    </r>
    <r>
      <rPr>
        <b/>
        <sz val="10"/>
        <color rgb="FF3366FF"/>
        <rFont val="Verdana"/>
        <family val="2"/>
      </rPr>
      <t>234U</t>
    </r>
  </si>
  <si>
    <t>Uranium and Molybdenum Isotope Data Set</t>
  </si>
  <si>
    <t>Literature data and recalculated authigenic fractions</t>
  </si>
  <si>
    <t>%</t>
  </si>
  <si>
    <t>top depth (cm)</t>
  </si>
  <si>
    <t>base depth (cm)</t>
  </si>
  <si>
    <t xml:space="preserve">mean depth </t>
  </si>
  <si>
    <t>Al %</t>
  </si>
  <si>
    <t>Fe %</t>
  </si>
  <si>
    <t>Ba (ppm)</t>
  </si>
  <si>
    <r>
      <t>Ba/Al *10</t>
    </r>
    <r>
      <rPr>
        <b/>
        <vertAlign val="superscript"/>
        <sz val="10"/>
        <rFont val="Arial"/>
        <family val="2"/>
      </rPr>
      <t>4</t>
    </r>
  </si>
  <si>
    <t>S %</t>
  </si>
  <si>
    <t>V (ppm)</t>
  </si>
  <si>
    <r>
      <t>V/Al *10</t>
    </r>
    <r>
      <rPr>
        <b/>
        <vertAlign val="superscript"/>
        <sz val="10"/>
        <rFont val="Arial"/>
        <family val="2"/>
      </rPr>
      <t>4</t>
    </r>
  </si>
  <si>
    <t>Mo (ppm)</t>
  </si>
  <si>
    <r>
      <t>Mo/Al *10</t>
    </r>
    <r>
      <rPr>
        <b/>
        <vertAlign val="superscript"/>
        <sz val="10"/>
        <rFont val="Arial"/>
        <family val="2"/>
      </rPr>
      <t>4</t>
    </r>
  </si>
  <si>
    <t>As (ppm)</t>
  </si>
  <si>
    <r>
      <t>As/Al *10</t>
    </r>
    <r>
      <rPr>
        <b/>
        <vertAlign val="superscript"/>
        <sz val="10"/>
        <rFont val="Arial"/>
        <family val="2"/>
      </rPr>
      <t>4</t>
    </r>
  </si>
  <si>
    <t>U (ppm)</t>
  </si>
  <si>
    <r>
      <t>U/Al *10</t>
    </r>
    <r>
      <rPr>
        <b/>
        <vertAlign val="superscript"/>
        <sz val="10"/>
        <rFont val="Arial"/>
        <family val="2"/>
      </rPr>
      <t>4</t>
    </r>
  </si>
  <si>
    <r>
      <t>ODP 967 &lt;63</t>
    </r>
    <r>
      <rPr>
        <b/>
        <sz val="10"/>
        <rFont val="Symbol"/>
        <family val="1"/>
        <charset val="2"/>
      </rPr>
      <t>m</t>
    </r>
  </si>
  <si>
    <t>Depth range</t>
  </si>
  <si>
    <t xml:space="preserve">TOC </t>
  </si>
  <si>
    <t>wt%</t>
  </si>
  <si>
    <t>70-72</t>
  </si>
  <si>
    <t>102-104</t>
  </si>
  <si>
    <t>105-107</t>
  </si>
  <si>
    <t>107-110</t>
  </si>
  <si>
    <t>109-111</t>
  </si>
  <si>
    <t>111-113</t>
  </si>
  <si>
    <t>117-118</t>
  </si>
  <si>
    <t>118-119</t>
  </si>
  <si>
    <t>120-122</t>
  </si>
  <si>
    <t>122-124</t>
  </si>
  <si>
    <t>124-126</t>
  </si>
  <si>
    <t>129-131</t>
  </si>
  <si>
    <t>131-133</t>
  </si>
  <si>
    <t>133-135</t>
  </si>
  <si>
    <t>139-141</t>
  </si>
  <si>
    <t>142-144</t>
  </si>
  <si>
    <t>146-148</t>
  </si>
  <si>
    <t>148-150</t>
  </si>
  <si>
    <t>Trace metal data set S1</t>
  </si>
  <si>
    <t>Cambrian (530-510 Ma)</t>
  </si>
  <si>
    <t>NTT-63</t>
  </si>
  <si>
    <t>NTT-61</t>
  </si>
  <si>
    <t>NTT-59</t>
  </si>
  <si>
    <t>NTT-57</t>
  </si>
  <si>
    <t>NTT-55</t>
  </si>
  <si>
    <t>NTT-53</t>
  </si>
  <si>
    <t>NTT-51</t>
  </si>
  <si>
    <t>NTT-49</t>
  </si>
  <si>
    <t>NTT-48</t>
  </si>
  <si>
    <t>NTT-46</t>
  </si>
  <si>
    <t>NTT-43</t>
  </si>
  <si>
    <t>NTT-41</t>
  </si>
  <si>
    <t>NTT-39</t>
  </si>
  <si>
    <t>NTT-37</t>
  </si>
  <si>
    <t>NTT-35</t>
  </si>
  <si>
    <t>NTT-31</t>
  </si>
  <si>
    <t>NTT-28</t>
  </si>
  <si>
    <t>NTT-26</t>
  </si>
  <si>
    <t>NTT-24</t>
  </si>
  <si>
    <t>NTT-22</t>
  </si>
  <si>
    <t>NTT-20</t>
  </si>
  <si>
    <t>NTT-17</t>
  </si>
  <si>
    <t>NTT-14</t>
  </si>
  <si>
    <t>NTT-11</t>
  </si>
  <si>
    <t>NTT-9</t>
  </si>
  <si>
    <t>NTT-6</t>
  </si>
  <si>
    <t>NTT-4</t>
  </si>
  <si>
    <t>NTT-3</t>
  </si>
  <si>
    <t>NTT-1</t>
  </si>
  <si>
    <t>na</t>
  </si>
  <si>
    <t>Unit 4</t>
  </si>
  <si>
    <t>KPZ-1</t>
  </si>
  <si>
    <t>KPZ-2</t>
  </si>
  <si>
    <t>KPZ-3</t>
  </si>
  <si>
    <t>KPZ-4</t>
  </si>
  <si>
    <t>KPZ-5</t>
  </si>
  <si>
    <t>KPZ-6</t>
  </si>
  <si>
    <t>KPZ-7</t>
  </si>
  <si>
    <t>KPW6</t>
  </si>
  <si>
    <t>KPW4</t>
  </si>
  <si>
    <t>KPW5</t>
  </si>
  <si>
    <t>KPW3</t>
  </si>
  <si>
    <t>KPW2</t>
  </si>
  <si>
    <t>KPW1</t>
  </si>
  <si>
    <t>KPR2</t>
  </si>
  <si>
    <t>KPR6</t>
  </si>
  <si>
    <t>KPR8</t>
  </si>
  <si>
    <t>KPR11</t>
  </si>
  <si>
    <t>KPR14</t>
  </si>
  <si>
    <t>KPR17</t>
  </si>
  <si>
    <t>KPP11</t>
  </si>
  <si>
    <t>KPP4</t>
  </si>
  <si>
    <t>KPP3</t>
  </si>
  <si>
    <t>KP21</t>
  </si>
  <si>
    <t>KP20</t>
  </si>
  <si>
    <t>KP18</t>
  </si>
  <si>
    <t>KP15</t>
  </si>
  <si>
    <t>KP10</t>
  </si>
  <si>
    <t>KP12</t>
  </si>
  <si>
    <t>KP9</t>
  </si>
  <si>
    <t>KP8</t>
  </si>
  <si>
    <t>KP7</t>
  </si>
  <si>
    <t>KP6</t>
  </si>
  <si>
    <t>Unit 1</t>
  </si>
  <si>
    <t>KP5</t>
  </si>
  <si>
    <t>KP4</t>
  </si>
  <si>
    <t>KP3</t>
  </si>
  <si>
    <t>KP2</t>
  </si>
  <si>
    <t>KP11</t>
  </si>
  <si>
    <t>KP1</t>
  </si>
  <si>
    <t> </t>
  </si>
  <si>
    <t>d238U</t>
  </si>
  <si>
    <t>d98Mo</t>
  </si>
  <si>
    <t>d238U aut</t>
  </si>
  <si>
    <t>3 gorges Juilong Outcrop section</t>
  </si>
  <si>
    <t>Devonian(370 Ma)</t>
  </si>
  <si>
    <t>Table S-1</t>
  </si>
  <si>
    <r>
      <rPr>
        <b/>
        <sz val="12"/>
        <rFont val="Arial"/>
        <family val="2"/>
      </rPr>
      <t xml:space="preserve">(a) </t>
    </r>
    <r>
      <rPr>
        <sz val="12"/>
        <rFont val="Arial"/>
        <family val="2"/>
      </rPr>
      <t xml:space="preserve">Sapropel S1 and S5, U and Mo isotope data and concentration data, incl. authigenic estimates. </t>
    </r>
  </si>
  <si>
    <r>
      <t xml:space="preserve">Mo; Azriel-Tal </t>
    </r>
    <r>
      <rPr>
        <b/>
        <i/>
        <sz val="10"/>
        <rFont val="Verdana"/>
        <family val="2"/>
      </rPr>
      <t>et al.</t>
    </r>
    <r>
      <rPr>
        <b/>
        <sz val="10"/>
        <rFont val="Verdana"/>
        <family val="2"/>
      </rPr>
      <t xml:space="preserve"> 2014, U isotope and concentration data This study</t>
    </r>
  </si>
  <si>
    <r>
      <t xml:space="preserve">* TOC data interpolated from Vance </t>
    </r>
    <r>
      <rPr>
        <i/>
        <sz val="10"/>
        <rFont val="Verdana"/>
        <family val="2"/>
      </rPr>
      <t>et al.</t>
    </r>
    <r>
      <rPr>
        <sz val="10"/>
        <rFont val="Verdana"/>
      </rPr>
      <t xml:space="preserve"> (2004)</t>
    </r>
  </si>
  <si>
    <r>
      <t xml:space="preserve">Andersen </t>
    </r>
    <r>
      <rPr>
        <b/>
        <i/>
        <sz val="10"/>
        <rFont val="Verdana"/>
        <family val="2"/>
      </rPr>
      <t>et al</t>
    </r>
    <r>
      <rPr>
        <b/>
        <sz val="10"/>
        <rFont val="Verdana"/>
        <family val="2"/>
      </rPr>
      <t xml:space="preserve">.: 'A 10-fold decline in the deep Eastern Mediterranean thermohaline overturning circulation during the last interglacial period.' </t>
    </r>
  </si>
  <si>
    <t>** Data used in Fig -S3</t>
  </si>
  <si>
    <r>
      <t xml:space="preserve">***Data from Emeis </t>
    </r>
    <r>
      <rPr>
        <i/>
        <sz val="10"/>
        <rFont val="Verdana"/>
        <family val="2"/>
      </rPr>
      <t>et al</t>
    </r>
    <r>
      <rPr>
        <sz val="10"/>
        <rFont val="Verdana"/>
        <family val="2"/>
      </rPr>
      <t>., 1998</t>
    </r>
  </si>
  <si>
    <r>
      <t xml:space="preserve">*The 234U/238U data are presented as d234U the permil deviation from secular equilibrium using the half-lives of Cheng </t>
    </r>
    <r>
      <rPr>
        <i/>
        <sz val="10"/>
        <rFont val="Verdana"/>
        <family val="2"/>
      </rPr>
      <t>et al.</t>
    </r>
    <r>
      <rPr>
        <sz val="10"/>
        <rFont val="Verdana"/>
      </rPr>
      <t xml:space="preserve"> (2013). The d234U were obtained normalisng the measured data to the bracketing CRM-145 with an assumed d234U composition of -38.6. </t>
    </r>
  </si>
  <si>
    <t xml:space="preserve">© 2020 The Authors 
</t>
  </si>
  <si>
    <t>Published by the European Association of Geochemistry under Creative Commons License CC-BY-NC-ND.</t>
  </si>
  <si>
    <r>
      <rPr>
        <b/>
        <sz val="12"/>
        <rFont val="Arial"/>
        <family val="2"/>
      </rPr>
      <t xml:space="preserve">(b) </t>
    </r>
    <r>
      <rPr>
        <sz val="12"/>
        <rFont val="Arial"/>
        <family val="2"/>
      </rPr>
      <t xml:space="preserve">Extended trace metal concentration data for sapropel S1. </t>
    </r>
  </si>
  <si>
    <r>
      <rPr>
        <b/>
        <sz val="12"/>
        <rFont val="Arial"/>
        <family val="2"/>
      </rPr>
      <t xml:space="preserve">(c) </t>
    </r>
    <r>
      <rPr>
        <sz val="12"/>
        <rFont val="Arial"/>
        <family val="2"/>
      </rPr>
      <t>Authigenic U and Mo isotope calculations for literature data.</t>
    </r>
  </si>
  <si>
    <r>
      <t xml:space="preserve">Asael </t>
    </r>
    <r>
      <rPr>
        <b/>
        <i/>
        <sz val="10"/>
        <rFont val="Times New Roman"/>
        <family val="1"/>
      </rPr>
      <t>et al</t>
    </r>
    <r>
      <rPr>
        <b/>
        <sz val="10"/>
        <rFont val="Times New Roman"/>
        <family val="1"/>
      </rPr>
      <t xml:space="preserve">. (2013) </t>
    </r>
  </si>
  <si>
    <r>
      <t xml:space="preserve">Kendall </t>
    </r>
    <r>
      <rPr>
        <b/>
        <i/>
        <sz val="10"/>
        <rFont val="Times New Roman"/>
        <family val="1"/>
      </rPr>
      <t>et al</t>
    </r>
    <r>
      <rPr>
        <b/>
        <sz val="10"/>
        <rFont val="Times New Roman"/>
        <family val="1"/>
      </rPr>
      <t>. (2015)</t>
    </r>
  </si>
  <si>
    <r>
      <t xml:space="preserve">Cheng </t>
    </r>
    <r>
      <rPr>
        <b/>
        <i/>
        <sz val="10"/>
        <rFont val="Times New Roman"/>
        <family val="1"/>
      </rPr>
      <t>et al.</t>
    </r>
    <r>
      <rPr>
        <b/>
        <sz val="10"/>
        <rFont val="Times New Roman"/>
        <family val="1"/>
      </rPr>
      <t xml:space="preserve"> (2020) </t>
    </r>
  </si>
  <si>
    <r>
      <t xml:space="preserve">Kendall </t>
    </r>
    <r>
      <rPr>
        <b/>
        <i/>
        <sz val="10"/>
        <rFont val="Times New Roman"/>
        <family val="1"/>
      </rPr>
      <t>et al</t>
    </r>
    <r>
      <rPr>
        <b/>
        <sz val="10"/>
        <rFont val="Times New Roman"/>
        <family val="1"/>
      </rPr>
      <t xml:space="preserve">. (2020) </t>
    </r>
  </si>
  <si>
    <r>
      <t xml:space="preserve">Andersen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(2020)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15</t>
    </r>
    <r>
      <rPr>
        <sz val="10"/>
        <color indexed="8"/>
        <rFont val="Calibri"/>
        <family val="2"/>
        <scheme val="minor"/>
      </rPr>
      <t>, 10</t>
    </r>
    <r>
      <rPr>
        <sz val="10"/>
        <rFont val="Calibri"/>
        <family val="2"/>
        <scheme val="minor"/>
      </rPr>
      <t xml:space="preserve">-14 </t>
    </r>
    <r>
      <rPr>
        <sz val="10"/>
        <color indexed="8"/>
        <rFont val="Calibri"/>
        <family val="2"/>
        <scheme val="minor"/>
      </rPr>
      <t xml:space="preserve">| doi: 10.7185/geochemlet.2027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</si>
</sst>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9">
    <font>
      <sz val="10"/>
      <name val="Verdana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/>
      <name val="Verdana"/>
      <family val="2"/>
    </font>
    <font>
      <sz val="10"/>
      <color theme="5"/>
      <name val="Verdana"/>
      <family val="2"/>
    </font>
    <font>
      <sz val="10"/>
      <color theme="4"/>
      <name val="Verdana"/>
      <family val="2"/>
    </font>
    <font>
      <sz val="10"/>
      <color rgb="FF3366FF"/>
      <name val="Verdana"/>
      <family val="2"/>
    </font>
    <font>
      <sz val="10"/>
      <color rgb="FFFF0000"/>
      <name val="Verdana"/>
      <family val="2"/>
    </font>
    <font>
      <b/>
      <sz val="10"/>
      <color rgb="FF3366FF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6" tint="-0.499984740745262"/>
      <name val="Verdana"/>
      <family val="2"/>
    </font>
    <font>
      <sz val="10"/>
      <color theme="9" tint="-0.499984740745262"/>
      <name val="Verdana"/>
      <family val="2"/>
    </font>
    <font>
      <b/>
      <sz val="10"/>
      <color theme="1"/>
      <name val="Verdana"/>
      <family val="2"/>
    </font>
    <font>
      <b/>
      <sz val="10"/>
      <color theme="6" tint="-0.499984740745262"/>
      <name val="Verdana"/>
      <family val="2"/>
    </font>
    <font>
      <b/>
      <sz val="10"/>
      <color theme="9" tint="-0.499984740745262"/>
      <name val="Verdana"/>
      <family val="2"/>
    </font>
    <font>
      <b/>
      <sz val="10"/>
      <color rgb="FF3366FF"/>
      <name val="Symbol"/>
      <charset val="2"/>
    </font>
    <font>
      <b/>
      <sz val="10"/>
      <color rgb="FF3366FF"/>
      <name val="Verdana"/>
      <family val="2"/>
      <charset val="2"/>
    </font>
    <font>
      <sz val="10"/>
      <name val="Verdana"/>
      <family val="2"/>
    </font>
    <font>
      <b/>
      <sz val="10"/>
      <color theme="4"/>
      <name val="Verdana"/>
      <family val="2"/>
    </font>
    <font>
      <b/>
      <sz val="10"/>
      <color theme="6" tint="-0.499984740745262"/>
      <name val="Symbol"/>
      <charset val="2"/>
    </font>
    <font>
      <b/>
      <sz val="10"/>
      <color theme="6" tint="-0.499984740745262"/>
      <name val="Verdana"/>
      <family val="2"/>
      <charset val="2"/>
    </font>
    <font>
      <b/>
      <sz val="10"/>
      <name val="Arial"/>
      <family val="2"/>
    </font>
    <font>
      <sz val="10"/>
      <color rgb="FFFFFF00"/>
      <name val="Verdana"/>
      <family val="2"/>
    </font>
    <font>
      <b/>
      <sz val="10"/>
      <color rgb="FFFFFF00"/>
      <name val="Verdana"/>
      <family val="2"/>
    </font>
    <font>
      <sz val="10"/>
      <color rgb="FFFFFF00"/>
      <name val="Arial"/>
      <family val="2"/>
    </font>
    <font>
      <b/>
      <sz val="10"/>
      <color rgb="FF0070C0"/>
      <name val="Verdana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  <charset val="2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5"/>
      <name val="Times New Roman"/>
      <family val="1"/>
    </font>
    <font>
      <sz val="10"/>
      <color theme="9" tint="-0.499984740745262"/>
      <name val="Times New Roman"/>
      <family val="1"/>
    </font>
    <font>
      <sz val="10"/>
      <color rgb="FFFFFF00"/>
      <name val="Times New Roman"/>
      <family val="1"/>
    </font>
    <font>
      <sz val="10"/>
      <color theme="6" tint="-0.499984740745262"/>
      <name val="Times New Roman"/>
      <family val="1"/>
    </font>
    <font>
      <i/>
      <sz val="10"/>
      <color rgb="FFFF0000"/>
      <name val="Times New Roman"/>
      <family val="1"/>
    </font>
    <font>
      <sz val="10"/>
      <color theme="4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25" fillId="0" borderId="0"/>
  </cellStyleXfs>
  <cellXfs count="41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0" fillId="0" borderId="1" xfId="0" applyFill="1" applyBorder="1"/>
    <xf numFmtId="164" fontId="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2" fontId="18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 applyProtection="1">
      <alignment horizontal="center"/>
    </xf>
    <xf numFmtId="164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6" fillId="0" borderId="0" xfId="0" applyFont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/>
    <xf numFmtId="0" fontId="21" fillId="0" borderId="0" xfId="0" applyFont="1" applyFill="1" applyBorder="1"/>
    <xf numFmtId="2" fontId="2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2" fontId="28" fillId="0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 applyProtection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 applyProtection="1">
      <alignment horizontal="center"/>
    </xf>
    <xf numFmtId="2" fontId="3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 applyProtection="1">
      <alignment horizontal="center"/>
    </xf>
    <xf numFmtId="164" fontId="0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 vertical="center"/>
    </xf>
    <xf numFmtId="1" fontId="16" fillId="3" borderId="0" xfId="0" applyNumberFormat="1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3" fillId="0" borderId="0" xfId="0" applyFont="1"/>
    <xf numFmtId="0" fontId="9" fillId="0" borderId="2" xfId="0" applyFont="1" applyBorder="1" applyAlignment="1"/>
    <xf numFmtId="0" fontId="0" fillId="4" borderId="0" xfId="0" applyFill="1" applyBorder="1"/>
    <xf numFmtId="0" fontId="0" fillId="3" borderId="0" xfId="0" applyFill="1"/>
    <xf numFmtId="0" fontId="4" fillId="3" borderId="0" xfId="712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0" xfId="0" applyBorder="1"/>
    <xf numFmtId="0" fontId="0" fillId="3" borderId="0" xfId="0" applyFill="1" applyBorder="1"/>
    <xf numFmtId="2" fontId="3" fillId="3" borderId="0" xfId="0" applyNumberFormat="1" applyFont="1" applyFill="1" applyBorder="1"/>
    <xf numFmtId="0" fontId="0" fillId="3" borderId="1" xfId="0" applyFill="1" applyBorder="1"/>
    <xf numFmtId="1" fontId="3" fillId="3" borderId="0" xfId="0" applyNumberFormat="1" applyFont="1" applyFill="1" applyBorder="1" applyAlignment="1" applyProtection="1"/>
    <xf numFmtId="1" fontId="3" fillId="3" borderId="0" xfId="0" applyNumberFormat="1" applyFont="1" applyFill="1"/>
    <xf numFmtId="1" fontId="3" fillId="2" borderId="0" xfId="0" applyNumberFormat="1" applyFont="1" applyFill="1" applyBorder="1" applyAlignment="1" applyProtection="1"/>
    <xf numFmtId="1" fontId="3" fillId="2" borderId="0" xfId="0" applyNumberFormat="1" applyFont="1" applyFill="1"/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4" fillId="3" borderId="1" xfId="712" applyFont="1" applyFill="1" applyBorder="1" applyAlignment="1">
      <alignment horizontal="center"/>
    </xf>
    <xf numFmtId="2" fontId="3" fillId="3" borderId="1" xfId="0" applyNumberFormat="1" applyFont="1" applyFill="1" applyBorder="1"/>
    <xf numFmtId="0" fontId="30" fillId="3" borderId="0" xfId="0" applyFont="1" applyFill="1" applyBorder="1" applyAlignment="1">
      <alignment horizontal="center"/>
    </xf>
    <xf numFmtId="0" fontId="30" fillId="3" borderId="0" xfId="0" applyFont="1" applyFill="1"/>
    <xf numFmtId="1" fontId="31" fillId="3" borderId="0" xfId="0" applyNumberFormat="1" applyFont="1" applyFill="1" applyBorder="1" applyAlignment="1">
      <alignment horizontal="center"/>
    </xf>
    <xf numFmtId="1" fontId="31" fillId="3" borderId="1" xfId="0" applyNumberFormat="1" applyFont="1" applyFill="1" applyBorder="1" applyAlignment="1">
      <alignment horizontal="center"/>
    </xf>
    <xf numFmtId="0" fontId="32" fillId="3" borderId="0" xfId="712" applyFont="1" applyFill="1" applyBorder="1" applyAlignment="1">
      <alignment horizontal="center"/>
    </xf>
    <xf numFmtId="0" fontId="32" fillId="3" borderId="1" xfId="712" applyFont="1" applyFill="1" applyBorder="1" applyAlignment="1">
      <alignment horizontal="center"/>
    </xf>
    <xf numFmtId="0" fontId="30" fillId="3" borderId="1" xfId="0" applyFont="1" applyFill="1" applyBorder="1" applyAlignment="1">
      <alignment horizontal="left"/>
    </xf>
    <xf numFmtId="1" fontId="30" fillId="3" borderId="0" xfId="0" applyNumberFormat="1" applyFont="1" applyFill="1" applyBorder="1" applyAlignment="1">
      <alignment horizontal="center"/>
    </xf>
    <xf numFmtId="1" fontId="30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164" fontId="31" fillId="3" borderId="0" xfId="0" applyNumberFormat="1" applyFont="1" applyFill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9" fillId="3" borderId="0" xfId="0" applyNumberFormat="1" applyFont="1" applyFill="1" applyBorder="1" applyAlignment="1">
      <alignment horizontal="center"/>
    </xf>
    <xf numFmtId="2" fontId="29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4" fontId="29" fillId="3" borderId="0" xfId="712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1" fontId="3" fillId="3" borderId="1" xfId="0" applyNumberFormat="1" applyFont="1" applyFill="1" applyBorder="1"/>
    <xf numFmtId="2" fontId="25" fillId="3" borderId="0" xfId="0" applyNumberFormat="1" applyFont="1" applyFill="1" applyBorder="1"/>
    <xf numFmtId="2" fontId="25" fillId="3" borderId="1" xfId="0" applyNumberFormat="1" applyFont="1" applyFill="1" applyBorder="1"/>
    <xf numFmtId="2" fontId="25" fillId="3" borderId="0" xfId="0" applyNumberFormat="1" applyFont="1" applyFill="1" applyBorder="1" applyAlignment="1" applyProtection="1">
      <alignment horizontal="center"/>
    </xf>
    <xf numFmtId="2" fontId="25" fillId="2" borderId="0" xfId="0" applyNumberFormat="1" applyFont="1" applyFill="1" applyBorder="1" applyAlignment="1" applyProtection="1">
      <alignment horizontal="center"/>
    </xf>
    <xf numFmtId="2" fontId="25" fillId="2" borderId="0" xfId="0" applyNumberFormat="1" applyFont="1" applyFill="1" applyBorder="1" applyAlignment="1">
      <alignment horizontal="center"/>
    </xf>
    <xf numFmtId="2" fontId="25" fillId="3" borderId="0" xfId="0" applyNumberFormat="1" applyFont="1" applyFill="1" applyBorder="1" applyAlignment="1">
      <alignment horizontal="center"/>
    </xf>
    <xf numFmtId="2" fontId="25" fillId="3" borderId="1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9" fillId="0" borderId="4" xfId="0" applyFont="1" applyFill="1" applyBorder="1"/>
    <xf numFmtId="1" fontId="0" fillId="3" borderId="4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3" fillId="3" borderId="0" xfId="0" applyNumberFormat="1" applyFont="1" applyFill="1"/>
    <xf numFmtId="0" fontId="3" fillId="3" borderId="0" xfId="0" applyFont="1" applyFill="1"/>
    <xf numFmtId="2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0" fillId="0" borderId="0" xfId="0" applyFont="1"/>
    <xf numFmtId="164" fontId="17" fillId="3" borderId="0" xfId="0" applyNumberFormat="1" applyFont="1" applyFill="1" applyBorder="1" applyAlignment="1">
      <alignment horizontal="center"/>
    </xf>
    <xf numFmtId="0" fontId="16" fillId="3" borderId="0" xfId="0" applyFont="1" applyFill="1"/>
    <xf numFmtId="1" fontId="16" fillId="3" borderId="0" xfId="0" applyNumberFormat="1" applyFont="1" applyFill="1"/>
    <xf numFmtId="164" fontId="16" fillId="3" borderId="0" xfId="0" applyNumberFormat="1" applyFont="1" applyFill="1"/>
    <xf numFmtId="164" fontId="16" fillId="3" borderId="1" xfId="0" applyNumberFormat="1" applyFont="1" applyFill="1" applyBorder="1" applyAlignment="1">
      <alignment horizontal="center"/>
    </xf>
    <xf numFmtId="164" fontId="8" fillId="3" borderId="0" xfId="712" applyNumberFormat="1" applyFont="1" applyFill="1" applyBorder="1" applyAlignment="1">
      <alignment horizontal="center"/>
    </xf>
    <xf numFmtId="164" fontId="8" fillId="3" borderId="1" xfId="712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16" fillId="3" borderId="1" xfId="0" applyFont="1" applyFill="1" applyBorder="1"/>
    <xf numFmtId="1" fontId="16" fillId="3" borderId="1" xfId="0" applyNumberFormat="1" applyFont="1" applyFill="1" applyBorder="1"/>
    <xf numFmtId="164" fontId="29" fillId="3" borderId="1" xfId="0" applyNumberFormat="1" applyFont="1" applyFill="1" applyBorder="1" applyAlignment="1">
      <alignment horizontal="center"/>
    </xf>
    <xf numFmtId="2" fontId="29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4" fontId="29" fillId="3" borderId="1" xfId="712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1" fontId="33" fillId="0" borderId="1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0" xfId="712" applyFont="1" applyFill="1" applyBorder="1" applyAlignment="1">
      <alignment horizontal="center"/>
    </xf>
    <xf numFmtId="2" fontId="3" fillId="5" borderId="0" xfId="0" applyNumberFormat="1" applyFont="1" applyFill="1" applyBorder="1"/>
    <xf numFmtId="2" fontId="25" fillId="5" borderId="0" xfId="0" applyNumberFormat="1" applyFont="1" applyFill="1" applyBorder="1"/>
    <xf numFmtId="0" fontId="3" fillId="5" borderId="0" xfId="0" applyFont="1" applyFill="1"/>
    <xf numFmtId="0" fontId="0" fillId="5" borderId="0" xfId="0" applyFill="1"/>
    <xf numFmtId="164" fontId="0" fillId="5" borderId="0" xfId="0" applyNumberFormat="1" applyFill="1"/>
    <xf numFmtId="164" fontId="0" fillId="5" borderId="0" xfId="0" applyNumberFormat="1" applyFill="1" applyAlignment="1">
      <alignment horizontal="center"/>
    </xf>
    <xf numFmtId="1" fontId="0" fillId="5" borderId="0" xfId="0" applyNumberFormat="1" applyFill="1"/>
    <xf numFmtId="164" fontId="16" fillId="5" borderId="0" xfId="0" applyNumberFormat="1" applyFont="1" applyFill="1" applyBorder="1" applyAlignment="1">
      <alignment horizontal="center"/>
    </xf>
    <xf numFmtId="164" fontId="16" fillId="5" borderId="0" xfId="0" applyNumberFormat="1" applyFont="1" applyFill="1"/>
    <xf numFmtId="1" fontId="16" fillId="5" borderId="0" xfId="0" applyNumberFormat="1" applyFont="1" applyFill="1"/>
    <xf numFmtId="0" fontId="16" fillId="5" borderId="0" xfId="0" applyFont="1" applyFill="1"/>
    <xf numFmtId="164" fontId="29" fillId="5" borderId="0" xfId="0" applyNumberFormat="1" applyFont="1" applyFill="1" applyBorder="1" applyAlignment="1">
      <alignment horizontal="center"/>
    </xf>
    <xf numFmtId="2" fontId="29" fillId="5" borderId="0" xfId="0" applyNumberFormat="1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64" fontId="29" fillId="5" borderId="0" xfId="712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164" fontId="8" fillId="5" borderId="0" xfId="712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32" fillId="5" borderId="0" xfId="712" applyFont="1" applyFill="1" applyBorder="1" applyAlignment="1">
      <alignment horizontal="center"/>
    </xf>
    <xf numFmtId="9" fontId="4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1" fontId="3" fillId="5" borderId="0" xfId="0" applyNumberFormat="1" applyFont="1" applyFill="1" applyBorder="1"/>
    <xf numFmtId="0" fontId="20" fillId="5" borderId="0" xfId="0" applyFont="1" applyFill="1" applyBorder="1" applyAlignment="1">
      <alignment horizontal="center"/>
    </xf>
    <xf numFmtId="0" fontId="8" fillId="5" borderId="0" xfId="712" applyFont="1" applyFill="1" applyBorder="1" applyAlignment="1">
      <alignment horizontal="center"/>
    </xf>
    <xf numFmtId="2" fontId="20" fillId="5" borderId="0" xfId="0" applyNumberFormat="1" applyFont="1" applyFill="1" applyBorder="1"/>
    <xf numFmtId="2" fontId="16" fillId="5" borderId="0" xfId="0" applyNumberFormat="1" applyFont="1" applyFill="1" applyBorder="1"/>
    <xf numFmtId="164" fontId="9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 applyAlignment="1">
      <alignment horizontal="center"/>
    </xf>
    <xf numFmtId="9" fontId="8" fillId="5" borderId="0" xfId="0" applyNumberFormat="1" applyFont="1" applyFill="1" applyBorder="1" applyAlignment="1">
      <alignment horizontal="center"/>
    </xf>
    <xf numFmtId="0" fontId="16" fillId="5" borderId="0" xfId="0" applyFont="1" applyFill="1" applyBorder="1"/>
    <xf numFmtId="1" fontId="20" fillId="5" borderId="0" xfId="0" applyNumberFormat="1" applyFont="1" applyFill="1" applyBorder="1"/>
    <xf numFmtId="2" fontId="3" fillId="5" borderId="0" xfId="0" applyNumberFormat="1" applyFont="1" applyFill="1"/>
    <xf numFmtId="1" fontId="25" fillId="0" borderId="1" xfId="0" applyNumberFormat="1" applyFont="1" applyBorder="1"/>
    <xf numFmtId="1" fontId="25" fillId="0" borderId="0" xfId="0" applyNumberFormat="1" applyFont="1"/>
    <xf numFmtId="0" fontId="29" fillId="0" borderId="0" xfId="712" applyFont="1" applyAlignment="1">
      <alignment horizontal="center"/>
    </xf>
    <xf numFmtId="164" fontId="29" fillId="0" borderId="0" xfId="712" applyNumberFormat="1" applyFont="1" applyAlignment="1">
      <alignment horizontal="center"/>
    </xf>
    <xf numFmtId="2" fontId="29" fillId="0" borderId="0" xfId="712" applyNumberFormat="1" applyFont="1" applyAlignment="1">
      <alignment horizontal="center"/>
    </xf>
    <xf numFmtId="0" fontId="25" fillId="0" borderId="0" xfId="713"/>
    <xf numFmtId="0" fontId="29" fillId="0" borderId="6" xfId="712" applyFont="1" applyBorder="1" applyAlignment="1">
      <alignment horizontal="center"/>
    </xf>
    <xf numFmtId="0" fontId="29" fillId="0" borderId="7" xfId="712" applyFont="1" applyBorder="1" applyAlignment="1">
      <alignment horizontal="center"/>
    </xf>
    <xf numFmtId="164" fontId="29" fillId="0" borderId="7" xfId="712" applyNumberFormat="1" applyFont="1" applyBorder="1" applyAlignment="1">
      <alignment horizontal="center"/>
    </xf>
    <xf numFmtId="0" fontId="25" fillId="0" borderId="7" xfId="713" applyBorder="1"/>
    <xf numFmtId="2" fontId="25" fillId="0" borderId="7" xfId="713" applyNumberFormat="1" applyBorder="1"/>
    <xf numFmtId="2" fontId="25" fillId="0" borderId="0" xfId="713" applyNumberFormat="1"/>
    <xf numFmtId="1" fontId="4" fillId="0" borderId="0" xfId="712" applyNumberFormat="1" applyAlignment="1">
      <alignment horizontal="center"/>
    </xf>
    <xf numFmtId="0" fontId="4" fillId="0" borderId="2" xfId="712" applyBorder="1" applyAlignment="1">
      <alignment horizontal="center"/>
    </xf>
    <xf numFmtId="0" fontId="4" fillId="6" borderId="2" xfId="712" applyFill="1" applyBorder="1" applyAlignment="1">
      <alignment horizontal="center"/>
    </xf>
    <xf numFmtId="164" fontId="4" fillId="0" borderId="1" xfId="712" applyNumberFormat="1" applyBorder="1" applyAlignment="1">
      <alignment horizontal="center"/>
    </xf>
    <xf numFmtId="2" fontId="25" fillId="0" borderId="1" xfId="713" applyNumberFormat="1" applyBorder="1"/>
    <xf numFmtId="1" fontId="4" fillId="0" borderId="1" xfId="712" applyNumberFormat="1" applyBorder="1" applyAlignment="1">
      <alignment horizontal="center"/>
    </xf>
    <xf numFmtId="0" fontId="25" fillId="0" borderId="1" xfId="713" applyBorder="1"/>
    <xf numFmtId="0" fontId="36" fillId="0" borderId="1" xfId="713" applyFont="1" applyBorder="1"/>
    <xf numFmtId="0" fontId="4" fillId="6" borderId="8" xfId="712" applyFill="1" applyBorder="1" applyAlignment="1">
      <alignment horizontal="center"/>
    </xf>
    <xf numFmtId="0" fontId="4" fillId="0" borderId="0" xfId="712" applyAlignment="1">
      <alignment horizontal="center"/>
    </xf>
    <xf numFmtId="0" fontId="29" fillId="0" borderId="0" xfId="712" applyFont="1"/>
    <xf numFmtId="0" fontId="4" fillId="0" borderId="0" xfId="712"/>
    <xf numFmtId="2" fontId="25" fillId="0" borderId="0" xfId="713" applyNumberFormat="1" applyFill="1"/>
    <xf numFmtId="2" fontId="29" fillId="0" borderId="0" xfId="713" applyNumberFormat="1" applyFont="1" applyFill="1" applyAlignment="1">
      <alignment horizontal="center"/>
    </xf>
    <xf numFmtId="2" fontId="25" fillId="0" borderId="7" xfId="713" applyNumberFormat="1" applyFill="1" applyBorder="1"/>
    <xf numFmtId="2" fontId="25" fillId="0" borderId="1" xfId="713" applyNumberFormat="1" applyFill="1" applyBorder="1"/>
    <xf numFmtId="0" fontId="36" fillId="7" borderId="9" xfId="713" applyFont="1" applyFill="1" applyBorder="1"/>
    <xf numFmtId="0" fontId="36" fillId="7" borderId="10" xfId="713" applyFont="1" applyFill="1" applyBorder="1"/>
    <xf numFmtId="0" fontId="36" fillId="7" borderId="6" xfId="713" applyFont="1" applyFill="1" applyBorder="1"/>
    <xf numFmtId="0" fontId="36" fillId="7" borderId="11" xfId="713" applyFont="1" applyFill="1" applyBorder="1"/>
    <xf numFmtId="0" fontId="36" fillId="7" borderId="5" xfId="713" applyFont="1" applyFill="1" applyBorder="1"/>
    <xf numFmtId="0" fontId="36" fillId="7" borderId="13" xfId="713" applyFont="1" applyFill="1" applyBorder="1"/>
    <xf numFmtId="0" fontId="36" fillId="7" borderId="15" xfId="713" applyFont="1" applyFill="1" applyBorder="1"/>
    <xf numFmtId="0" fontId="29" fillId="0" borderId="9" xfId="712" applyFont="1" applyBorder="1" applyAlignment="1">
      <alignment horizontal="center"/>
    </xf>
    <xf numFmtId="0" fontId="4" fillId="0" borderId="17" xfId="712" applyBorder="1" applyAlignment="1">
      <alignment horizontal="center"/>
    </xf>
    <xf numFmtId="2" fontId="25" fillId="0" borderId="3" xfId="713" applyNumberFormat="1" applyBorder="1"/>
    <xf numFmtId="2" fontId="25" fillId="0" borderId="3" xfId="713" applyNumberFormat="1" applyFill="1" applyBorder="1"/>
    <xf numFmtId="1" fontId="4" fillId="0" borderId="3" xfId="712" applyNumberFormat="1" applyBorder="1" applyAlignment="1">
      <alignment horizontal="center"/>
    </xf>
    <xf numFmtId="164" fontId="4" fillId="0" borderId="3" xfId="712" applyNumberFormat="1" applyBorder="1" applyAlignment="1">
      <alignment horizontal="center"/>
    </xf>
    <xf numFmtId="0" fontId="25" fillId="0" borderId="3" xfId="713" applyBorder="1"/>
    <xf numFmtId="0" fontId="36" fillId="0" borderId="3" xfId="713" applyFont="1" applyBorder="1"/>
    <xf numFmtId="0" fontId="29" fillId="0" borderId="5" xfId="712" applyFont="1" applyBorder="1" applyAlignment="1">
      <alignment horizontal="center"/>
    </xf>
    <xf numFmtId="2" fontId="25" fillId="0" borderId="0" xfId="713" applyNumberFormat="1" applyBorder="1"/>
    <xf numFmtId="2" fontId="25" fillId="0" borderId="0" xfId="713" applyNumberFormat="1" applyFill="1" applyBorder="1"/>
    <xf numFmtId="1" fontId="4" fillId="0" borderId="0" xfId="712" applyNumberFormat="1" applyBorder="1" applyAlignment="1">
      <alignment horizontal="center"/>
    </xf>
    <xf numFmtId="164" fontId="4" fillId="0" borderId="0" xfId="712" applyNumberFormat="1" applyBorder="1" applyAlignment="1">
      <alignment horizontal="center"/>
    </xf>
    <xf numFmtId="0" fontId="25" fillId="0" borderId="0" xfId="713" applyBorder="1"/>
    <xf numFmtId="0" fontId="36" fillId="0" borderId="0" xfId="713" applyFont="1" applyBorder="1"/>
    <xf numFmtId="0" fontId="29" fillId="0" borderId="13" xfId="712" applyFont="1" applyBorder="1" applyAlignment="1">
      <alignment horizontal="center"/>
    </xf>
    <xf numFmtId="0" fontId="29" fillId="0" borderId="15" xfId="712" applyFont="1" applyBorder="1" applyAlignment="1">
      <alignment horizontal="center"/>
    </xf>
    <xf numFmtId="0" fontId="4" fillId="0" borderId="18" xfId="712" applyBorder="1" applyAlignment="1">
      <alignment horizontal="center"/>
    </xf>
    <xf numFmtId="2" fontId="25" fillId="0" borderId="19" xfId="713" applyNumberFormat="1" applyBorder="1"/>
    <xf numFmtId="2" fontId="25" fillId="0" borderId="19" xfId="713" applyNumberFormat="1" applyFill="1" applyBorder="1"/>
    <xf numFmtId="0" fontId="4" fillId="0" borderId="19" xfId="712" applyBorder="1" applyAlignment="1">
      <alignment horizontal="center"/>
    </xf>
    <xf numFmtId="1" fontId="4" fillId="0" borderId="19" xfId="712" applyNumberFormat="1" applyBorder="1" applyAlignment="1">
      <alignment horizontal="center"/>
    </xf>
    <xf numFmtId="164" fontId="4" fillId="0" borderId="19" xfId="712" applyNumberFormat="1" applyBorder="1" applyAlignment="1">
      <alignment horizontal="center"/>
    </xf>
    <xf numFmtId="0" fontId="25" fillId="0" borderId="19" xfId="713" applyBorder="1"/>
    <xf numFmtId="164" fontId="36" fillId="7" borderId="12" xfId="713" applyNumberFormat="1" applyFont="1" applyFill="1" applyBorder="1"/>
    <xf numFmtId="164" fontId="36" fillId="7" borderId="14" xfId="713" applyNumberFormat="1" applyFont="1" applyFill="1" applyBorder="1"/>
    <xf numFmtId="164" fontId="36" fillId="7" borderId="16" xfId="713" applyNumberFormat="1" applyFont="1" applyFill="1" applyBorder="1"/>
    <xf numFmtId="0" fontId="25" fillId="0" borderId="0" xfId="713" applyFill="1"/>
    <xf numFmtId="0" fontId="29" fillId="0" borderId="0" xfId="712" applyFont="1" applyFill="1" applyAlignment="1">
      <alignment horizontal="center"/>
    </xf>
    <xf numFmtId="0" fontId="25" fillId="0" borderId="7" xfId="713" applyFill="1" applyBorder="1"/>
    <xf numFmtId="0" fontId="25" fillId="0" borderId="3" xfId="713" applyFill="1" applyBorder="1"/>
    <xf numFmtId="0" fontId="25" fillId="0" borderId="0" xfId="713" applyFill="1" applyBorder="1"/>
    <xf numFmtId="0" fontId="25" fillId="0" borderId="1" xfId="713" applyFill="1" applyBorder="1"/>
    <xf numFmtId="0" fontId="25" fillId="0" borderId="19" xfId="713" applyFill="1" applyBorder="1"/>
    <xf numFmtId="0" fontId="39" fillId="0" borderId="0" xfId="0" applyFont="1" applyFill="1" applyBorder="1"/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/>
    <xf numFmtId="1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2" fontId="43" fillId="0" borderId="0" xfId="0" applyNumberFormat="1" applyFont="1" applyFill="1" applyBorder="1"/>
    <xf numFmtId="0" fontId="45" fillId="0" borderId="0" xfId="0" applyFont="1" applyFill="1" applyBorder="1"/>
    <xf numFmtId="2" fontId="38" fillId="0" borderId="0" xfId="0" applyNumberFormat="1" applyFont="1" applyFill="1" applyBorder="1"/>
    <xf numFmtId="0" fontId="38" fillId="0" borderId="0" xfId="0" applyFont="1" applyFill="1" applyBorder="1" applyAlignment="1">
      <alignment horizontal="left"/>
    </xf>
    <xf numFmtId="164" fontId="39" fillId="0" borderId="0" xfId="0" applyNumberFormat="1" applyFont="1" applyFill="1" applyBorder="1" applyAlignment="1">
      <alignment horizontal="center"/>
    </xf>
    <xf numFmtId="164" fontId="39" fillId="0" borderId="0" xfId="712" applyNumberFormat="1" applyFont="1" applyFill="1" applyBorder="1" applyAlignment="1">
      <alignment horizontal="center"/>
    </xf>
    <xf numFmtId="9" fontId="38" fillId="0" borderId="0" xfId="0" applyNumberFormat="1" applyFont="1" applyFill="1" applyBorder="1" applyAlignment="1">
      <alignment horizontal="center"/>
    </xf>
    <xf numFmtId="2" fontId="39" fillId="0" borderId="0" xfId="333" applyNumberFormat="1" applyFont="1" applyFill="1" applyBorder="1" applyAlignment="1">
      <alignment horizontal="center" vertical="center"/>
    </xf>
    <xf numFmtId="0" fontId="39" fillId="0" borderId="0" xfId="333" applyFont="1" applyFill="1" applyBorder="1" applyAlignment="1">
      <alignment horizontal="center" vertical="center"/>
    </xf>
    <xf numFmtId="164" fontId="38" fillId="0" borderId="0" xfId="333" applyNumberFormat="1" applyFont="1" applyFill="1" applyBorder="1" applyAlignment="1">
      <alignment horizontal="center" vertical="center"/>
    </xf>
    <xf numFmtId="1" fontId="39" fillId="0" borderId="0" xfId="333" applyNumberFormat="1" applyFont="1" applyFill="1" applyBorder="1" applyAlignment="1">
      <alignment horizontal="center" vertical="center"/>
    </xf>
    <xf numFmtId="0" fontId="38" fillId="0" borderId="0" xfId="333" applyFont="1" applyFill="1" applyBorder="1" applyAlignment="1"/>
    <xf numFmtId="2" fontId="39" fillId="0" borderId="0" xfId="0" applyNumberFormat="1" applyFont="1" applyFill="1" applyBorder="1" applyAlignment="1">
      <alignment horizontal="center" vertical="center"/>
    </xf>
    <xf numFmtId="0" fontId="38" fillId="0" borderId="0" xfId="333" applyFont="1" applyFill="1" applyBorder="1" applyAlignment="1">
      <alignment horizontal="center" vertical="center"/>
    </xf>
    <xf numFmtId="0" fontId="39" fillId="0" borderId="0" xfId="333" applyFont="1" applyFill="1" applyBorder="1" applyAlignment="1"/>
    <xf numFmtId="164" fontId="38" fillId="0" borderId="0" xfId="333" applyNumberFormat="1" applyFont="1" applyFill="1" applyBorder="1" applyAlignment="1"/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39" fillId="0" borderId="0" xfId="0" applyFont="1" applyFill="1" applyBorder="1" applyAlignment="1">
      <alignment wrapText="1"/>
    </xf>
    <xf numFmtId="2" fontId="39" fillId="0" borderId="0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center" wrapText="1"/>
    </xf>
    <xf numFmtId="1" fontId="38" fillId="0" borderId="0" xfId="0" applyNumberFormat="1" applyFont="1" applyFill="1" applyBorder="1"/>
    <xf numFmtId="0" fontId="38" fillId="0" borderId="0" xfId="0" applyFont="1" applyFill="1" applyBorder="1" applyAlignment="1">
      <alignment wrapText="1"/>
    </xf>
    <xf numFmtId="0" fontId="38" fillId="0" borderId="20" xfId="0" applyFont="1" applyFill="1" applyBorder="1"/>
    <xf numFmtId="0" fontId="38" fillId="0" borderId="22" xfId="0" applyFont="1" applyFill="1" applyBorder="1"/>
    <xf numFmtId="0" fontId="40" fillId="0" borderId="22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left"/>
    </xf>
    <xf numFmtId="0" fontId="38" fillId="0" borderId="22" xfId="0" applyFont="1" applyFill="1" applyBorder="1" applyAlignment="1">
      <alignment horizontal="center"/>
    </xf>
    <xf numFmtId="0" fontId="39" fillId="0" borderId="20" xfId="0" applyFont="1" applyFill="1" applyBorder="1"/>
    <xf numFmtId="0" fontId="39" fillId="0" borderId="20" xfId="0" applyFont="1" applyFill="1" applyBorder="1" applyAlignment="1">
      <alignment horizontal="left"/>
    </xf>
    <xf numFmtId="0" fontId="39" fillId="0" borderId="22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2" fontId="39" fillId="0" borderId="20" xfId="333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8" fillId="0" borderId="22" xfId="333" applyFont="1" applyFill="1" applyBorder="1" applyAlignment="1">
      <alignment horizontal="center" vertical="center"/>
    </xf>
    <xf numFmtId="0" fontId="39" fillId="0" borderId="20" xfId="333" applyFont="1" applyFill="1" applyBorder="1" applyAlignment="1">
      <alignment horizontal="center" vertical="center"/>
    </xf>
    <xf numFmtId="0" fontId="38" fillId="0" borderId="22" xfId="333" applyFont="1" applyFill="1" applyBorder="1" applyAlignment="1">
      <alignment horizontal="center"/>
    </xf>
    <xf numFmtId="164" fontId="38" fillId="0" borderId="22" xfId="0" applyNumberFormat="1" applyFont="1" applyFill="1" applyBorder="1" applyAlignment="1">
      <alignment horizontal="center"/>
    </xf>
    <xf numFmtId="2" fontId="39" fillId="0" borderId="20" xfId="0" applyNumberFormat="1" applyFont="1" applyFill="1" applyBorder="1" applyAlignment="1">
      <alignment horizontal="center" wrapText="1"/>
    </xf>
    <xf numFmtId="164" fontId="39" fillId="0" borderId="22" xfId="0" applyNumberFormat="1" applyFont="1" applyFill="1" applyBorder="1" applyAlignment="1">
      <alignment horizontal="center" wrapText="1"/>
    </xf>
    <xf numFmtId="164" fontId="38" fillId="0" borderId="22" xfId="0" applyNumberFormat="1" applyFont="1" applyFill="1" applyBorder="1" applyAlignment="1">
      <alignment horizontal="center" wrapText="1"/>
    </xf>
    <xf numFmtId="0" fontId="38" fillId="0" borderId="21" xfId="0" applyFont="1" applyFill="1" applyBorder="1"/>
    <xf numFmtId="0" fontId="39" fillId="0" borderId="21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21" xfId="333" applyFont="1" applyFill="1" applyBorder="1" applyAlignment="1"/>
    <xf numFmtId="0" fontId="39" fillId="0" borderId="22" xfId="0" applyFont="1" applyFill="1" applyBorder="1"/>
    <xf numFmtId="164" fontId="39" fillId="0" borderId="22" xfId="0" applyNumberFormat="1" applyFont="1" applyFill="1" applyBorder="1" applyAlignment="1">
      <alignment horizontal="center"/>
    </xf>
    <xf numFmtId="0" fontId="39" fillId="0" borderId="21" xfId="0" applyFont="1" applyFill="1" applyBorder="1"/>
    <xf numFmtId="0" fontId="39" fillId="0" borderId="21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left"/>
    </xf>
    <xf numFmtId="0" fontId="43" fillId="0" borderId="22" xfId="0" applyFont="1" applyFill="1" applyBorder="1"/>
    <xf numFmtId="9" fontId="38" fillId="0" borderId="22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 horizontal="left"/>
    </xf>
    <xf numFmtId="0" fontId="45" fillId="0" borderId="22" xfId="0" applyFont="1" applyFill="1" applyBorder="1"/>
    <xf numFmtId="0" fontId="37" fillId="0" borderId="20" xfId="0" applyFont="1" applyFill="1" applyBorder="1"/>
    <xf numFmtId="0" fontId="48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2" fillId="3" borderId="0" xfId="0" applyFont="1" applyFill="1" applyBorder="1" applyAlignment="1">
      <alignment horizontal="center"/>
    </xf>
    <xf numFmtId="0" fontId="49" fillId="0" borderId="0" xfId="0" applyFont="1"/>
    <xf numFmtId="0" fontId="25" fillId="0" borderId="0" xfId="0" applyFont="1"/>
    <xf numFmtId="0" fontId="36" fillId="0" borderId="0" xfId="0" applyFont="1" applyAlignment="1">
      <alignment vertical="top"/>
    </xf>
    <xf numFmtId="0" fontId="56" fillId="0" borderId="0" xfId="0" applyFont="1"/>
    <xf numFmtId="0" fontId="36" fillId="0" borderId="0" xfId="0" applyFont="1"/>
    <xf numFmtId="0" fontId="36" fillId="0" borderId="0" xfId="0" applyFont="1" applyFill="1" applyAlignment="1">
      <alignment vertical="top"/>
    </xf>
    <xf numFmtId="0" fontId="56" fillId="0" borderId="0" xfId="0" applyFont="1" applyFill="1"/>
    <xf numFmtId="0" fontId="36" fillId="0" borderId="0" xfId="0" applyFont="1" applyFill="1"/>
    <xf numFmtId="0" fontId="3" fillId="0" borderId="0" xfId="0" applyFont="1" applyFill="1"/>
    <xf numFmtId="0" fontId="48" fillId="0" borderId="0" xfId="713" applyFont="1" applyFill="1"/>
    <xf numFmtId="2" fontId="48" fillId="0" borderId="0" xfId="713" applyNumberFormat="1" applyFont="1" applyFill="1"/>
    <xf numFmtId="0" fontId="56" fillId="0" borderId="0" xfId="0" applyFont="1" applyFill="1" applyAlignment="1"/>
    <xf numFmtId="0" fontId="25" fillId="8" borderId="3" xfId="713" applyFill="1" applyBorder="1"/>
    <xf numFmtId="0" fontId="25" fillId="8" borderId="0" xfId="713" applyFill="1" applyBorder="1"/>
    <xf numFmtId="0" fontId="25" fillId="8" borderId="1" xfId="713" applyFill="1" applyBorder="1"/>
    <xf numFmtId="0" fontId="25" fillId="8" borderId="19" xfId="713" applyFill="1" applyBorder="1"/>
    <xf numFmtId="0" fontId="29" fillId="8" borderId="0" xfId="712" applyFont="1" applyFill="1" applyAlignment="1">
      <alignment horizontal="center"/>
    </xf>
    <xf numFmtId="0" fontId="25" fillId="8" borderId="7" xfId="713" applyFill="1" applyBorder="1"/>
    <xf numFmtId="2" fontId="29" fillId="9" borderId="0" xfId="713" applyNumberFormat="1" applyFont="1" applyFill="1" applyAlignment="1">
      <alignment horizontal="center"/>
    </xf>
    <xf numFmtId="2" fontId="25" fillId="9" borderId="7" xfId="713" applyNumberFormat="1" applyFill="1" applyBorder="1" applyAlignment="1">
      <alignment horizontal="center"/>
    </xf>
    <xf numFmtId="2" fontId="25" fillId="9" borderId="7" xfId="713" applyNumberFormat="1" applyFill="1" applyBorder="1"/>
    <xf numFmtId="2" fontId="25" fillId="9" borderId="3" xfId="713" applyNumberFormat="1" applyFill="1" applyBorder="1"/>
    <xf numFmtId="2" fontId="25" fillId="9" borderId="0" xfId="713" applyNumberFormat="1" applyFill="1" applyBorder="1"/>
    <xf numFmtId="2" fontId="25" fillId="9" borderId="1" xfId="713" applyNumberFormat="1" applyFill="1" applyBorder="1"/>
    <xf numFmtId="2" fontId="25" fillId="9" borderId="19" xfId="713" applyNumberFormat="1" applyFill="1" applyBorder="1"/>
  </cellXfs>
  <cellStyles count="7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Normal" xfId="0" builtinId="0"/>
    <cellStyle name="Normal 2" xfId="333" xr:uid="{00000000-0005-0000-0000-0000C5020000}"/>
    <cellStyle name="Normal 3" xfId="586" xr:uid="{00000000-0005-0000-0000-0000C6020000}"/>
    <cellStyle name="Normal 4" xfId="703" xr:uid="{00000000-0005-0000-0000-0000C7020000}"/>
    <cellStyle name="Normal 5" xfId="713" xr:uid="{7BFC40B4-F487-B14D-83B4-92442CD0DB67}"/>
    <cellStyle name="Normal_גיליון1" xfId="712" xr:uid="{00000000-0005-0000-0000-0000C8020000}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208193388677"/>
          <c:y val="3.8850942568722201E-2"/>
          <c:w val="0.77172801096019406"/>
          <c:h val="0.7979700352723310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'Suppl Tables'!#REF!</c:f>
            </c:numRef>
          </c:xVal>
          <c:yVal>
            <c:numRef>
              <c:f>'Suppl 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A6-5E4F-A7BE-A11ACA2DCA9C}"/>
            </c:ext>
          </c:extLst>
        </c:ser>
        <c:ser>
          <c:idx val="2"/>
          <c:order val="1"/>
          <c:tx>
            <c:v>SW modern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'Suppl Tables'!#REF!</c:f>
            </c:numRef>
          </c:xVal>
          <c:yVal>
            <c:numRef>
              <c:f>'Suppl 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A6-5E4F-A7BE-A11ACA2D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269536"/>
        <c:axId val="1982273296"/>
      </c:scatterChart>
      <c:valAx>
        <c:axId val="1982269536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Mo (ppm) auth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73296"/>
        <c:crossesAt val="-1"/>
        <c:crossBetween val="midCat"/>
      </c:valAx>
      <c:valAx>
        <c:axId val="1982273296"/>
        <c:scaling>
          <c:orientation val="minMax"/>
          <c:max val="1.5"/>
          <c:min val="-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Symbol" pitchFamily="2" charset="2"/>
                  </a:rPr>
                  <a:t>d</a:t>
                </a:r>
                <a:r>
                  <a:rPr lang="en-US" sz="1400"/>
                  <a:t>98Mo(auth)</a:t>
                </a:r>
              </a:p>
            </c:rich>
          </c:tx>
          <c:layout>
            <c:manualLayout>
              <c:xMode val="edge"/>
              <c:yMode val="edge"/>
              <c:x val="4.8533594596887303E-2"/>
              <c:y val="0.35283698901223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269536"/>
        <c:crossesAt val="-0.6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45159</xdr:colOff>
      <xdr:row>6</xdr:row>
      <xdr:rowOff>39747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7835F81-46F7-4751-AEA1-D999EB0AD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71"/>
          <a:ext cx="2183675" cy="859102"/>
        </a:xfrm>
        <a:prstGeom prst="rect">
          <a:avLst/>
        </a:prstGeom>
      </xdr:spPr>
    </xdr:pic>
    <xdr:clientData/>
  </xdr:twoCellAnchor>
  <xdr:twoCellAnchor>
    <xdr:from>
      <xdr:col>14</xdr:col>
      <xdr:colOff>24580</xdr:colOff>
      <xdr:row>1</xdr:row>
      <xdr:rowOff>90129</xdr:rowOff>
    </xdr:from>
    <xdr:to>
      <xdr:col>21</xdr:col>
      <xdr:colOff>366989</xdr:colOff>
      <xdr:row>5</xdr:row>
      <xdr:rowOff>146378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0900E57C-56BA-4120-BA9D-B47CC56E873C}"/>
            </a:ext>
          </a:extLst>
        </xdr:cNvPr>
        <xdr:cNvSpPr txBox="1">
          <a:spLocks noChangeArrowheads="1"/>
        </xdr:cNvSpPr>
      </xdr:nvSpPr>
      <xdr:spPr bwMode="auto">
        <a:xfrm>
          <a:off x="10373032" y="254000"/>
          <a:ext cx="43572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Andersen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Rapid onset of ocean anoxia shown by high U and low Mo isotope compositions of sapropel S1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2</xdr:col>
      <xdr:colOff>255815</xdr:colOff>
      <xdr:row>5</xdr:row>
      <xdr:rowOff>104722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FEB564-4E5E-4A60-AEE0-A5712D606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"/>
          <a:ext cx="2183675" cy="859102"/>
        </a:xfrm>
        <a:prstGeom prst="rect">
          <a:avLst/>
        </a:prstGeom>
      </xdr:spPr>
    </xdr:pic>
    <xdr:clientData/>
  </xdr:twoCellAnchor>
  <xdr:twoCellAnchor>
    <xdr:from>
      <xdr:col>11</xdr:col>
      <xdr:colOff>617220</xdr:colOff>
      <xdr:row>0</xdr:row>
      <xdr:rowOff>83820</xdr:rowOff>
    </xdr:from>
    <xdr:to>
      <xdr:col>18</xdr:col>
      <xdr:colOff>90047</xdr:colOff>
      <xdr:row>4</xdr:row>
      <xdr:rowOff>155473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A2DA1625-9A8F-4315-AE44-CAE043BC435E}"/>
            </a:ext>
          </a:extLst>
        </xdr:cNvPr>
        <xdr:cNvSpPr txBox="1">
          <a:spLocks noChangeArrowheads="1"/>
        </xdr:cNvSpPr>
      </xdr:nvSpPr>
      <xdr:spPr bwMode="auto">
        <a:xfrm>
          <a:off x="8816340" y="83820"/>
          <a:ext cx="43572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Andersen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Rapid onset of ocean anoxia shown by high U and low Mo isotope compositions of sapropel S1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552174</xdr:colOff>
      <xdr:row>58</xdr:row>
      <xdr:rowOff>138044</xdr:rowOff>
    </xdr:from>
    <xdr:to>
      <xdr:col>32</xdr:col>
      <xdr:colOff>0</xdr:colOff>
      <xdr:row>59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5285C6-7AFB-4243-90F3-CE650600A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370115</xdr:colOff>
      <xdr:row>6</xdr:row>
      <xdr:rowOff>20902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4A91119E-392D-461F-9306-626A987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7640"/>
          <a:ext cx="2183675" cy="859102"/>
        </a:xfrm>
        <a:prstGeom prst="rect">
          <a:avLst/>
        </a:prstGeom>
      </xdr:spPr>
    </xdr:pic>
    <xdr:clientData/>
  </xdr:twoCellAnchor>
  <xdr:twoCellAnchor>
    <xdr:from>
      <xdr:col>10</xdr:col>
      <xdr:colOff>114300</xdr:colOff>
      <xdr:row>0</xdr:row>
      <xdr:rowOff>129540</xdr:rowOff>
    </xdr:from>
    <xdr:to>
      <xdr:col>14</xdr:col>
      <xdr:colOff>844427</xdr:colOff>
      <xdr:row>5</xdr:row>
      <xdr:rowOff>3073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3D7D4DE-1363-490A-AA68-FFEB274B8F30}"/>
            </a:ext>
          </a:extLst>
        </xdr:cNvPr>
        <xdr:cNvSpPr txBox="1">
          <a:spLocks noChangeArrowheads="1"/>
        </xdr:cNvSpPr>
      </xdr:nvSpPr>
      <xdr:spPr bwMode="auto">
        <a:xfrm>
          <a:off x="9182100" y="129540"/>
          <a:ext cx="435724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Andersen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Rapid onset of ocean anoxia shown by high U and low Mo isotope compositions of sapropel S1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9:BC82"/>
  <sheetViews>
    <sheetView tabSelected="1" zoomScale="93" zoomScaleNormal="93" zoomScalePageLayoutView="90" workbookViewId="0">
      <selection activeCell="F5" sqref="F5"/>
    </sheetView>
  </sheetViews>
  <sheetFormatPr defaultColWidth="10.81640625" defaultRowHeight="13.2"/>
  <cols>
    <col min="1" max="1" width="10.81640625" style="1"/>
    <col min="2" max="2" width="7.36328125" style="1" customWidth="1"/>
    <col min="3" max="6" width="7.36328125" style="3" customWidth="1"/>
    <col min="7" max="8" width="7.453125" style="3" customWidth="1"/>
    <col min="9" max="10" width="10.81640625" style="3"/>
    <col min="11" max="12" width="10.81640625" style="1"/>
    <col min="13" max="13" width="10.81640625" style="3"/>
    <col min="14" max="15" width="6.81640625" style="1" customWidth="1"/>
    <col min="16" max="19" width="6.81640625" style="3" customWidth="1"/>
    <col min="20" max="25" width="6.81640625" style="1" customWidth="1"/>
    <col min="26" max="26" width="10.81640625" style="3"/>
    <col min="27" max="32" width="7.1796875" style="9" customWidth="1"/>
    <col min="33" max="34" width="6.81640625" style="3" customWidth="1"/>
    <col min="35" max="35" width="8.1796875" style="3" customWidth="1"/>
    <col min="36" max="36" width="6.81640625" style="3" customWidth="1"/>
    <col min="37" max="45" width="10.81640625" style="3"/>
    <col min="46" max="46" width="6.81640625" style="132" customWidth="1"/>
    <col min="47" max="47" width="6.81640625" style="3" customWidth="1"/>
    <col min="48" max="48" width="6.81640625" style="1" customWidth="1"/>
    <col min="49" max="50" width="6.81640625" style="3" customWidth="1"/>
    <col min="51" max="51" width="10.81640625" style="3"/>
    <col min="52" max="16384" width="10.81640625" style="1"/>
  </cols>
  <sheetData>
    <row r="9" spans="1:55" s="389" customFormat="1" ht="15.6">
      <c r="A9" s="391" t="s">
        <v>229</v>
      </c>
      <c r="B9" s="387" t="s">
        <v>230</v>
      </c>
      <c r="C9" s="388"/>
      <c r="D9" s="388"/>
      <c r="E9" s="388"/>
      <c r="F9" s="388"/>
      <c r="G9" s="388"/>
      <c r="H9" s="388"/>
      <c r="I9" s="388"/>
      <c r="J9" s="388"/>
      <c r="M9" s="388"/>
      <c r="P9" s="388"/>
      <c r="Q9" s="388"/>
      <c r="R9" s="388"/>
      <c r="S9" s="388"/>
      <c r="Z9" s="388"/>
      <c r="AA9" s="9"/>
      <c r="AB9" s="9"/>
      <c r="AC9" s="9"/>
      <c r="AD9" s="9"/>
      <c r="AE9" s="9"/>
      <c r="AF9" s="9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90"/>
      <c r="AU9" s="388"/>
      <c r="AW9" s="388"/>
      <c r="AX9" s="388"/>
      <c r="AY9" s="388"/>
    </row>
    <row r="10" spans="1:55" s="389" customFormat="1" ht="15">
      <c r="A10" s="387"/>
      <c r="B10" s="387"/>
      <c r="C10" s="388"/>
      <c r="D10" s="388"/>
      <c r="E10" s="388"/>
      <c r="F10" s="388"/>
      <c r="G10" s="388"/>
      <c r="H10" s="388"/>
      <c r="I10" s="388"/>
      <c r="J10" s="388"/>
      <c r="M10" s="388"/>
      <c r="P10" s="388"/>
      <c r="Q10" s="388"/>
      <c r="R10" s="388"/>
      <c r="S10" s="388"/>
      <c r="Z10" s="388"/>
      <c r="AA10" s="9"/>
      <c r="AB10" s="9"/>
      <c r="AC10" s="9"/>
      <c r="AD10" s="9"/>
      <c r="AE10" s="9"/>
      <c r="AF10" s="9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90"/>
      <c r="AU10" s="388"/>
      <c r="AW10" s="388"/>
      <c r="AX10" s="388"/>
      <c r="AY10" s="388"/>
    </row>
    <row r="11" spans="1:55" s="389" customFormat="1" ht="15">
      <c r="A11" s="387"/>
      <c r="B11" s="387"/>
      <c r="C11" s="388"/>
      <c r="D11" s="388"/>
      <c r="E11" s="388"/>
      <c r="F11" s="388"/>
      <c r="G11" s="388"/>
      <c r="H11" s="388"/>
      <c r="I11" s="388"/>
      <c r="J11" s="388"/>
      <c r="M11" s="388"/>
      <c r="P11" s="388"/>
      <c r="Q11" s="388"/>
      <c r="R11" s="388"/>
      <c r="S11" s="388"/>
      <c r="Z11" s="388"/>
      <c r="AA11" s="9"/>
      <c r="AB11" s="9"/>
      <c r="AC11" s="9"/>
      <c r="AD11" s="9"/>
      <c r="AE11" s="9"/>
      <c r="AF11" s="9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90"/>
      <c r="AU11" s="388"/>
      <c r="AW11" s="388"/>
      <c r="AX11" s="388"/>
      <c r="AY11" s="388"/>
    </row>
    <row r="12" spans="1:55">
      <c r="A12" s="7" t="s">
        <v>110</v>
      </c>
      <c r="K12" s="9"/>
      <c r="L12" s="9"/>
      <c r="N12" s="3"/>
      <c r="O12" s="3"/>
      <c r="T12" s="3"/>
      <c r="U12" s="3"/>
      <c r="V12" s="3"/>
      <c r="W12" s="3"/>
      <c r="X12" s="3"/>
      <c r="Y12" s="3"/>
      <c r="AA12" s="3"/>
      <c r="AB12" s="3"/>
      <c r="AC12" s="3"/>
      <c r="AD12" s="3"/>
      <c r="AE12" s="3"/>
      <c r="AF12" s="3"/>
      <c r="AV12" s="3"/>
      <c r="AZ12" s="3"/>
      <c r="BA12" s="3"/>
      <c r="BB12" s="3"/>
    </row>
    <row r="13" spans="1:55">
      <c r="K13" s="9"/>
      <c r="L13" s="9"/>
      <c r="N13" s="3"/>
      <c r="O13" s="3"/>
      <c r="T13" s="3"/>
      <c r="U13" s="3"/>
      <c r="V13" s="3"/>
      <c r="W13" s="3"/>
      <c r="X13" s="3"/>
      <c r="Y13" s="3"/>
      <c r="AA13" s="3"/>
      <c r="AB13" s="3"/>
      <c r="AC13" s="3"/>
      <c r="AD13" s="3"/>
      <c r="AE13" s="3"/>
      <c r="AF13" s="3"/>
      <c r="AV13" s="3"/>
      <c r="AZ13" s="3"/>
      <c r="BA13" s="3"/>
      <c r="BB13" s="3"/>
    </row>
    <row r="14" spans="1:55">
      <c r="K14" s="9"/>
      <c r="L14" s="9"/>
      <c r="N14" s="3"/>
      <c r="O14" s="3"/>
      <c r="T14" s="3"/>
      <c r="U14" s="3"/>
      <c r="V14" s="3"/>
      <c r="W14" s="3"/>
      <c r="X14" s="3"/>
      <c r="Y14" s="3"/>
      <c r="AA14" s="3"/>
      <c r="AB14" s="3"/>
      <c r="AC14" s="3"/>
      <c r="AD14" s="3"/>
      <c r="AE14" s="3"/>
      <c r="AF14" s="3"/>
      <c r="AV14" s="143" t="s">
        <v>80</v>
      </c>
      <c r="AW14" s="144"/>
      <c r="AX14" s="144" t="s">
        <v>82</v>
      </c>
      <c r="AZ14" s="3"/>
      <c r="BA14" s="3"/>
      <c r="BB14" s="3"/>
    </row>
    <row r="15" spans="1:55">
      <c r="K15" s="9"/>
      <c r="L15" s="9"/>
      <c r="N15" s="3"/>
      <c r="O15" s="3"/>
      <c r="T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V15" s="145" t="s">
        <v>81</v>
      </c>
      <c r="AW15" s="143" t="s">
        <v>78</v>
      </c>
      <c r="AX15" s="145" t="s">
        <v>83</v>
      </c>
      <c r="AZ15" s="3"/>
      <c r="BA15" s="3"/>
      <c r="BB15" s="3"/>
    </row>
    <row r="16" spans="1:55" customFormat="1">
      <c r="A16" s="109" t="s">
        <v>231</v>
      </c>
      <c r="K16" s="115"/>
      <c r="L16" s="115"/>
      <c r="P16" s="106"/>
      <c r="AT16" s="133"/>
      <c r="AU16" s="106"/>
      <c r="AV16" s="146">
        <v>10.8</v>
      </c>
      <c r="AW16" s="110">
        <v>3.25</v>
      </c>
      <c r="AX16" s="144">
        <v>11.9</v>
      </c>
      <c r="AY16" s="106"/>
      <c r="AZ16" s="106"/>
      <c r="BA16" s="106"/>
      <c r="BB16" s="106"/>
      <c r="BC16" s="106"/>
    </row>
    <row r="17" spans="1:55" customFormat="1">
      <c r="A17" s="109" t="s">
        <v>79</v>
      </c>
      <c r="G17" s="21" t="s">
        <v>30</v>
      </c>
      <c r="H17" s="20"/>
      <c r="I17" s="3"/>
      <c r="J17" s="3"/>
      <c r="K17" s="1"/>
      <c r="L17" s="115"/>
      <c r="M17" s="3"/>
      <c r="N17" s="32" t="s">
        <v>50</v>
      </c>
      <c r="O17" s="1"/>
      <c r="P17" s="3"/>
      <c r="Q17" s="3"/>
      <c r="R17" s="3"/>
      <c r="S17" s="3"/>
      <c r="T17" s="1"/>
      <c r="U17" s="1"/>
      <c r="V17" s="1"/>
      <c r="W17" s="1"/>
      <c r="X17" s="1"/>
      <c r="Y17" s="1"/>
      <c r="Z17" s="3"/>
      <c r="AA17" s="50" t="s">
        <v>41</v>
      </c>
      <c r="AB17" s="68"/>
      <c r="AC17" s="68"/>
      <c r="AD17" s="68"/>
      <c r="AE17" s="68"/>
      <c r="AF17" s="68"/>
      <c r="AG17" s="69"/>
      <c r="AH17" s="5"/>
      <c r="AI17" s="5"/>
      <c r="AJ17" s="5"/>
      <c r="AK17" s="51" t="s">
        <v>43</v>
      </c>
      <c r="AL17" s="4"/>
      <c r="AM17" s="4"/>
      <c r="AN17" s="4"/>
      <c r="AO17" s="4"/>
      <c r="AP17" s="4"/>
      <c r="AQ17" s="4"/>
      <c r="AR17" s="4"/>
      <c r="AS17" s="4"/>
      <c r="AT17" s="133"/>
      <c r="AU17" s="106"/>
      <c r="AV17" s="146">
        <v>-0.3</v>
      </c>
      <c r="AW17" s="110">
        <v>-0.4</v>
      </c>
      <c r="AX17" s="144">
        <v>0</v>
      </c>
      <c r="AY17" s="106"/>
      <c r="AZ17" s="106"/>
      <c r="BA17" s="1"/>
      <c r="BB17" s="1"/>
      <c r="BC17" s="1"/>
    </row>
    <row r="18" spans="1:55" customFormat="1" thickBot="1">
      <c r="A18" s="109" t="s">
        <v>77</v>
      </c>
      <c r="G18" s="1"/>
      <c r="H18" s="6"/>
      <c r="I18" s="6"/>
      <c r="J18" s="6"/>
      <c r="K18" s="124"/>
      <c r="L18" s="1"/>
      <c r="M18" s="6"/>
      <c r="N18" s="114" t="s">
        <v>92</v>
      </c>
      <c r="O18" s="24"/>
      <c r="P18" s="24"/>
      <c r="Q18" s="24"/>
      <c r="R18" s="24"/>
      <c r="S18" s="24"/>
      <c r="T18" s="114"/>
      <c r="U18" s="114"/>
      <c r="V18" s="114"/>
      <c r="W18" s="114"/>
      <c r="X18" s="114"/>
      <c r="Y18" s="114"/>
      <c r="Z18" s="6"/>
      <c r="AA18" s="71" t="s">
        <v>26</v>
      </c>
      <c r="AB18" s="72"/>
      <c r="AC18" s="72"/>
      <c r="AD18" s="71" t="s">
        <v>28</v>
      </c>
      <c r="AE18" s="72"/>
      <c r="AF18" s="72"/>
      <c r="AG18" s="67"/>
      <c r="AH18" s="26"/>
      <c r="AI18" s="26"/>
      <c r="AJ18" s="26"/>
      <c r="AK18" s="69"/>
      <c r="AL18" s="31"/>
      <c r="AM18" s="31"/>
      <c r="AN18" s="31"/>
      <c r="AO18" s="31"/>
      <c r="AP18" s="31"/>
      <c r="AQ18" s="31"/>
      <c r="AR18" s="31"/>
      <c r="AS18" s="31"/>
      <c r="AT18" s="133"/>
      <c r="AU18" s="106"/>
      <c r="AV18" s="106"/>
      <c r="AW18" s="106"/>
      <c r="AX18" s="106"/>
      <c r="AY18" s="106"/>
      <c r="AZ18" s="106"/>
      <c r="BA18" s="1"/>
      <c r="BB18" s="1"/>
      <c r="BC18" s="1"/>
    </row>
    <row r="19" spans="1:55" customFormat="1">
      <c r="A19" s="109" t="s">
        <v>76</v>
      </c>
      <c r="B19" s="108" t="s">
        <v>75</v>
      </c>
      <c r="C19" s="107"/>
      <c r="D19" s="108" t="s">
        <v>74</v>
      </c>
      <c r="E19" s="111"/>
      <c r="F19" s="111"/>
      <c r="G19" s="66" t="s">
        <v>68</v>
      </c>
      <c r="H19" s="58" t="s">
        <v>29</v>
      </c>
      <c r="I19" s="66" t="s">
        <v>69</v>
      </c>
      <c r="J19" s="59" t="s">
        <v>29</v>
      </c>
      <c r="K19" s="66" t="s">
        <v>109</v>
      </c>
      <c r="L19" s="58" t="s">
        <v>29</v>
      </c>
      <c r="M19" s="59"/>
      <c r="N19" s="24" t="s">
        <v>31</v>
      </c>
      <c r="O19" s="24" t="s">
        <v>32</v>
      </c>
      <c r="P19" s="24" t="s">
        <v>52</v>
      </c>
      <c r="Q19" s="24" t="s">
        <v>53</v>
      </c>
      <c r="R19" s="24" t="s">
        <v>48</v>
      </c>
      <c r="S19" s="24" t="s">
        <v>54</v>
      </c>
      <c r="T19" s="25" t="s">
        <v>96</v>
      </c>
      <c r="U19" s="25" t="s">
        <v>108</v>
      </c>
      <c r="V19" s="25" t="s">
        <v>46</v>
      </c>
      <c r="W19" s="25" t="s">
        <v>47</v>
      </c>
      <c r="X19" s="25" t="s">
        <v>94</v>
      </c>
      <c r="Y19" s="25" t="s">
        <v>95</v>
      </c>
      <c r="Z19" s="59"/>
      <c r="AA19" s="72" t="s">
        <v>58</v>
      </c>
      <c r="AB19" s="76" t="s">
        <v>72</v>
      </c>
      <c r="AC19" s="73" t="s">
        <v>27</v>
      </c>
      <c r="AD19" s="72" t="s">
        <v>32</v>
      </c>
      <c r="AE19" s="76" t="s">
        <v>73</v>
      </c>
      <c r="AF19" s="73" t="s">
        <v>27</v>
      </c>
      <c r="AG19" s="26" t="s">
        <v>36</v>
      </c>
      <c r="AH19" s="26" t="s">
        <v>37</v>
      </c>
      <c r="AI19" s="26" t="s">
        <v>85</v>
      </c>
      <c r="AJ19" s="26"/>
      <c r="AK19" s="31" t="s">
        <v>102</v>
      </c>
      <c r="AL19" s="31" t="s">
        <v>103</v>
      </c>
      <c r="AM19" s="31" t="s">
        <v>25</v>
      </c>
      <c r="AN19" s="30" t="s">
        <v>65</v>
      </c>
      <c r="AO19" s="31" t="s">
        <v>60</v>
      </c>
      <c r="AP19" s="31" t="s">
        <v>105</v>
      </c>
      <c r="AQ19" s="31" t="s">
        <v>106</v>
      </c>
      <c r="AR19" s="31" t="s">
        <v>104</v>
      </c>
      <c r="AS19" s="31" t="s">
        <v>107</v>
      </c>
      <c r="AT19" s="134"/>
      <c r="AV19" s="26" t="s">
        <v>38</v>
      </c>
      <c r="AW19" s="26" t="s">
        <v>39</v>
      </c>
      <c r="AX19" s="27" t="s">
        <v>40</v>
      </c>
      <c r="AY19" s="26" t="s">
        <v>42</v>
      </c>
      <c r="AZ19" s="27" t="s">
        <v>45</v>
      </c>
      <c r="BA19" s="1"/>
      <c r="BB19" s="1"/>
      <c r="BC19" s="1"/>
    </row>
    <row r="20" spans="1:55" s="129" customFormat="1" ht="12.6">
      <c r="A20" s="126" t="s">
        <v>24</v>
      </c>
      <c r="B20" s="127" t="s">
        <v>1</v>
      </c>
      <c r="C20" s="128" t="s">
        <v>2</v>
      </c>
      <c r="D20" s="128" t="s">
        <v>3</v>
      </c>
      <c r="E20" s="128"/>
      <c r="F20" s="128"/>
      <c r="G20" s="60" t="s">
        <v>66</v>
      </c>
      <c r="H20" s="61"/>
      <c r="I20" s="200" t="s">
        <v>91</v>
      </c>
      <c r="J20" s="201"/>
      <c r="L20" s="242"/>
      <c r="M20" s="62"/>
      <c r="N20" s="53" t="s">
        <v>51</v>
      </c>
      <c r="O20" s="54" t="s">
        <v>51</v>
      </c>
      <c r="P20" s="54" t="s">
        <v>33</v>
      </c>
      <c r="Q20" s="54" t="s">
        <v>33</v>
      </c>
      <c r="R20" s="54" t="s">
        <v>33</v>
      </c>
      <c r="S20" s="54" t="s">
        <v>33</v>
      </c>
      <c r="T20" s="54" t="s">
        <v>33</v>
      </c>
      <c r="U20" s="54" t="s">
        <v>33</v>
      </c>
      <c r="V20" s="54" t="s">
        <v>51</v>
      </c>
      <c r="W20" s="54" t="s">
        <v>51</v>
      </c>
      <c r="X20" s="54" t="s">
        <v>51</v>
      </c>
      <c r="Y20" s="54" t="s">
        <v>51</v>
      </c>
      <c r="Z20" s="62"/>
      <c r="AA20" s="74" t="s">
        <v>51</v>
      </c>
      <c r="AB20" s="75"/>
      <c r="AC20" s="56"/>
      <c r="AD20" s="123" t="s">
        <v>51</v>
      </c>
      <c r="AE20" s="71"/>
      <c r="AF20" s="27"/>
      <c r="AG20" s="125" t="s">
        <v>55</v>
      </c>
      <c r="AH20" s="125" t="s">
        <v>56</v>
      </c>
      <c r="AI20" s="125"/>
      <c r="AJ20" s="55"/>
      <c r="AK20" s="63" t="s">
        <v>62</v>
      </c>
      <c r="AL20" s="63" t="s">
        <v>62</v>
      </c>
      <c r="AM20" s="63" t="s">
        <v>64</v>
      </c>
      <c r="AN20" s="63" t="s">
        <v>62</v>
      </c>
      <c r="AO20" s="63" t="s">
        <v>62</v>
      </c>
      <c r="AP20" s="63" t="s">
        <v>62</v>
      </c>
      <c r="AQ20" s="63" t="s">
        <v>62</v>
      </c>
      <c r="AR20" s="63" t="s">
        <v>62</v>
      </c>
      <c r="AS20" s="63" t="s">
        <v>62</v>
      </c>
      <c r="AT20" s="135"/>
      <c r="AV20" s="56"/>
      <c r="AW20" s="55" t="s">
        <v>57</v>
      </c>
      <c r="AX20" s="56"/>
      <c r="AY20" s="56"/>
      <c r="AZ20" s="56" t="s">
        <v>84</v>
      </c>
    </row>
    <row r="21" spans="1:55" s="116" customFormat="1">
      <c r="A21" s="148">
        <v>1362</v>
      </c>
      <c r="B21" s="113">
        <v>84.5</v>
      </c>
      <c r="C21" s="113">
        <v>85</v>
      </c>
      <c r="D21" s="113">
        <f>(B21+C21)/2</f>
        <v>84.75</v>
      </c>
      <c r="E21" s="113"/>
      <c r="F21" s="113"/>
      <c r="G21" s="117">
        <v>-0.43055520824194365</v>
      </c>
      <c r="H21" s="162">
        <v>4.4737233357765666E-2</v>
      </c>
      <c r="I21" s="176">
        <v>0.49</v>
      </c>
      <c r="J21" s="112">
        <v>0.01</v>
      </c>
      <c r="K21" s="156">
        <v>-2.9142128850318016</v>
      </c>
      <c r="L21" s="156">
        <v>8</v>
      </c>
      <c r="M21" s="113"/>
      <c r="N21" s="178">
        <v>1.496</v>
      </c>
      <c r="O21" s="178">
        <v>1.5</v>
      </c>
      <c r="P21" s="178">
        <v>6.6754015023748767</v>
      </c>
      <c r="Q21" s="179">
        <v>5.13</v>
      </c>
      <c r="R21" s="180">
        <v>1709.0150000000001</v>
      </c>
      <c r="S21" s="178">
        <v>5.0963006050341271</v>
      </c>
      <c r="T21" s="182">
        <v>1</v>
      </c>
      <c r="U21" s="183"/>
      <c r="V21" s="184">
        <v>132.06479999999999</v>
      </c>
      <c r="W21" s="183">
        <v>383</v>
      </c>
      <c r="X21" s="184">
        <v>12.231999999999999</v>
      </c>
      <c r="Y21" s="184">
        <v>118.526</v>
      </c>
      <c r="Z21" s="113"/>
      <c r="AA21" s="149">
        <f>AX21*N21</f>
        <v>0.60833163774351329</v>
      </c>
      <c r="AB21" s="150">
        <f>(G21-(AV21*$AV$17)-($AW$17*AW21))/AX21</f>
        <v>-0.59365247579851455</v>
      </c>
      <c r="AC21" s="151">
        <f>$H21*(AB21-$AV$17)/($G21-$AV$17)*(1/AX21)</f>
        <v>0.24745701953254465</v>
      </c>
      <c r="AD21" s="152">
        <f>O21*AZ21</f>
        <v>0.70562722121738952</v>
      </c>
      <c r="AE21" s="150">
        <f>(I21-(AY21*$AX$17))/AZ21</f>
        <v>1.0416264819431635</v>
      </c>
      <c r="AF21" s="153">
        <f>$J21*(AE21-$AX$17)/($I21-$AX$17)*(1/AZ21)</f>
        <v>4.5188909949408232E-2</v>
      </c>
      <c r="AG21" s="87">
        <f>(N21/(P21*10000)*1000000)/$AX$16</f>
        <v>1.8832468079944094</v>
      </c>
      <c r="AH21" s="87">
        <f>(O21/(P21*10000)*1000000)/$AV$16</f>
        <v>2.0806072689332176</v>
      </c>
      <c r="AI21" s="87">
        <f>AD21/AA21</f>
        <v>1.1599383912281385</v>
      </c>
      <c r="AJ21" s="113"/>
      <c r="AK21" s="174">
        <f t="shared" ref="AK21:AK45" si="0">N21/P21</f>
        <v>0.22410637015133472</v>
      </c>
      <c r="AL21" s="174">
        <f t="shared" ref="AL21:AL45" si="1">O21/P21</f>
        <v>0.22470558504478749</v>
      </c>
      <c r="AM21" s="174">
        <f t="shared" ref="AM21:AM45" si="2">O21/N21</f>
        <v>1.0026737967914439</v>
      </c>
      <c r="AN21" s="187">
        <f>O21/T21</f>
        <v>1.5</v>
      </c>
      <c r="AO21" s="187">
        <f>N21/T21</f>
        <v>1.496</v>
      </c>
      <c r="AP21" s="174">
        <f t="shared" ref="AP21:AP45" si="3">S21/P21</f>
        <v>0.76344480601219866</v>
      </c>
      <c r="AQ21" s="189">
        <f t="shared" ref="AQ21:AQ45" si="4">V21/P21</f>
        <v>19.783798765215231</v>
      </c>
      <c r="AR21" s="154">
        <f t="shared" ref="AR21:AR45" si="5">X21/P21</f>
        <v>1.8323991441785603</v>
      </c>
      <c r="AS21" s="189">
        <f t="shared" ref="AS21:AS45" si="6">Y21/P21</f>
        <v>17.755636115345652</v>
      </c>
      <c r="AT21" s="136"/>
      <c r="AU21" s="117"/>
      <c r="AV21" s="155">
        <f>(AV$16*(P21/100))/N21</f>
        <v>0.48191401220353391</v>
      </c>
      <c r="AW21" s="155">
        <f>(AW$16*(Q21/100))/N21</f>
        <v>0.11144719251336897</v>
      </c>
      <c r="AX21" s="155">
        <f>1-(AV21+AW21)</f>
        <v>0.4066387952830971</v>
      </c>
      <c r="AY21" s="155">
        <f>(AX$16*(P21/100))/O21</f>
        <v>0.52958185252174028</v>
      </c>
      <c r="AZ21" s="155">
        <f>1-(AY21)</f>
        <v>0.47041814747825972</v>
      </c>
      <c r="BA21" s="117"/>
      <c r="BB21" s="117"/>
      <c r="BC21" s="117"/>
    </row>
    <row r="22" spans="1:55" s="116" customFormat="1">
      <c r="A22" s="148">
        <v>1363</v>
      </c>
      <c r="B22" s="113">
        <v>89.5</v>
      </c>
      <c r="C22" s="113">
        <v>90</v>
      </c>
      <c r="D22" s="113">
        <f>(B22+C22)/2</f>
        <v>89.75</v>
      </c>
      <c r="E22" s="113"/>
      <c r="F22" s="113"/>
      <c r="G22" s="117">
        <v>-0.41728373756122483</v>
      </c>
      <c r="H22" s="162">
        <v>0.05</v>
      </c>
      <c r="I22" s="175">
        <v>0.1</v>
      </c>
      <c r="J22" s="112">
        <v>0.01</v>
      </c>
      <c r="K22" s="156">
        <v>9.0917321240190603</v>
      </c>
      <c r="L22" s="156">
        <v>8</v>
      </c>
      <c r="M22" s="113"/>
      <c r="N22" s="178">
        <v>1.474</v>
      </c>
      <c r="O22" s="178">
        <v>2.1560000000000001</v>
      </c>
      <c r="P22" s="178">
        <v>7.2551540968400392</v>
      </c>
      <c r="Q22" s="179">
        <v>3.67</v>
      </c>
      <c r="R22" s="180">
        <v>5742.6406999999999</v>
      </c>
      <c r="S22" s="178">
        <v>5.7227409060203511</v>
      </c>
      <c r="T22" s="182">
        <v>1</v>
      </c>
      <c r="U22" s="183"/>
      <c r="V22" s="184">
        <v>164.63339999999999</v>
      </c>
      <c r="W22" s="183">
        <v>276</v>
      </c>
      <c r="X22" s="184">
        <v>10.073</v>
      </c>
      <c r="Y22" s="184">
        <v>115.648</v>
      </c>
      <c r="Z22" s="113"/>
      <c r="AA22" s="149">
        <f>AX22*N22</f>
        <v>0.57116835754127582</v>
      </c>
      <c r="AB22" s="150">
        <f>(G22-(AV22*$AV$17)-($AW$17*AW22))/AX22</f>
        <v>-0.58178859532430316</v>
      </c>
      <c r="AC22" s="151">
        <f>$H22*(AB22-$AV$17)/($G22-$AV$17)*(1/AX22)</f>
        <v>0.31001946525313367</v>
      </c>
      <c r="AD22" s="152">
        <f>O22*AZ22</f>
        <v>1.2926366624760353</v>
      </c>
      <c r="AE22" s="150">
        <f>(I22-(AY22*$AX$17))/AZ22</f>
        <v>0.16679087500660852</v>
      </c>
      <c r="AF22" s="153">
        <f>$J22*(AE22-$AX$17)/($I22-$AX$17)*(1/AZ22)</f>
        <v>2.7819195985470106E-2</v>
      </c>
      <c r="AG22" s="87">
        <f>(N22/(P22*10000)*1000000)/$AX$16</f>
        <v>1.7072765728358086</v>
      </c>
      <c r="AH22" s="87">
        <f>(O22/(P22*10000)*1000000)/$AV$16</f>
        <v>2.7515560243796573</v>
      </c>
      <c r="AI22" s="87">
        <f>AD22/AA22</f>
        <v>2.2631447372898665</v>
      </c>
      <c r="AJ22" s="113"/>
      <c r="AK22" s="174">
        <f t="shared" si="0"/>
        <v>0.20316591216746124</v>
      </c>
      <c r="AL22" s="174">
        <f t="shared" si="1"/>
        <v>0.29716805063300306</v>
      </c>
      <c r="AM22" s="174">
        <f t="shared" si="2"/>
        <v>1.4626865671641793</v>
      </c>
      <c r="AN22" s="187">
        <f>O22/T22</f>
        <v>2.1560000000000001</v>
      </c>
      <c r="AO22" s="187">
        <f>N22/T22</f>
        <v>1.474</v>
      </c>
      <c r="AP22" s="174">
        <f t="shared" si="3"/>
        <v>0.78878281972162023</v>
      </c>
      <c r="AQ22" s="189">
        <f t="shared" si="4"/>
        <v>22.691923259315139</v>
      </c>
      <c r="AR22" s="154">
        <f t="shared" si="5"/>
        <v>1.3883922885093876</v>
      </c>
      <c r="AS22" s="189">
        <f t="shared" si="6"/>
        <v>15.940116289241898</v>
      </c>
      <c r="AT22" s="136"/>
      <c r="AU22" s="117"/>
      <c r="AV22" s="155">
        <f>(AV$16*(P22/100))/N22</f>
        <v>0.53158523911718059</v>
      </c>
      <c r="AW22" s="155">
        <f>(AW$16*(Q22/100))/N22</f>
        <v>8.0919267299864317E-2</v>
      </c>
      <c r="AX22" s="155">
        <f>1-(AV22+AW22)</f>
        <v>0.3874954935829551</v>
      </c>
      <c r="AY22" s="155">
        <f>(AX$16*(P22/100))/O22</f>
        <v>0.40044681703337875</v>
      </c>
      <c r="AZ22" s="155">
        <f>1-(AY22)</f>
        <v>0.59955318296662119</v>
      </c>
      <c r="BA22" s="117"/>
      <c r="BB22" s="117"/>
      <c r="BC22" s="117"/>
    </row>
    <row r="23" spans="1:55" s="116" customFormat="1">
      <c r="A23" s="148">
        <v>1365</v>
      </c>
      <c r="B23" s="113">
        <v>95.5</v>
      </c>
      <c r="C23" s="113">
        <v>96</v>
      </c>
      <c r="D23" s="113">
        <f>(B23+C23)/2</f>
        <v>95.75</v>
      </c>
      <c r="E23" s="113"/>
      <c r="F23" s="113"/>
      <c r="G23" s="117">
        <v>-0.42459280601570004</v>
      </c>
      <c r="H23" s="162">
        <v>0.05</v>
      </c>
      <c r="I23" s="176">
        <v>-7.0000000000000007E-2</v>
      </c>
      <c r="J23" s="112">
        <v>0.02</v>
      </c>
      <c r="K23" s="156">
        <v>14.939211496162315</v>
      </c>
      <c r="L23" s="156">
        <v>8</v>
      </c>
      <c r="M23" s="113"/>
      <c r="N23" s="178">
        <v>1.754</v>
      </c>
      <c r="O23" s="178">
        <v>1.452</v>
      </c>
      <c r="P23" s="178">
        <v>7.1080492874190382</v>
      </c>
      <c r="Q23" s="179">
        <v>5.82</v>
      </c>
      <c r="R23" s="180">
        <v>864.77849999999989</v>
      </c>
      <c r="S23" s="178">
        <v>5.7763055785763928</v>
      </c>
      <c r="T23" s="182">
        <v>1</v>
      </c>
      <c r="U23" s="183"/>
      <c r="V23" s="184">
        <v>159.24710000000002</v>
      </c>
      <c r="W23" s="183">
        <v>473</v>
      </c>
      <c r="X23" s="184">
        <v>10.324999999999999</v>
      </c>
      <c r="Y23" s="184">
        <v>153.18600000000001</v>
      </c>
      <c r="Z23" s="113"/>
      <c r="AA23" s="149">
        <f>AX23*N23</f>
        <v>0.79718067695874384</v>
      </c>
      <c r="AB23" s="150">
        <f>(G23-(AV23*$AV$17)-($AW$17*AW23))/AX23</f>
        <v>-0.55040845509840264</v>
      </c>
      <c r="AC23" s="151">
        <f>$H23*(AB23-$AV$17)/($G23-$AV$17)*(1/AX23)</f>
        <v>0.22110514683834656</v>
      </c>
      <c r="AD23" s="152">
        <f>O23*AZ23</f>
        <v>0.60614213479713441</v>
      </c>
      <c r="AE23" s="150">
        <f>(I23-(AY23*$AX$17))/AZ23</f>
        <v>-0.16768344281827102</v>
      </c>
      <c r="AF23" s="153">
        <f>$J23*(AE23-$AX$17)/($I23-$AX$17)*(1/AZ23)</f>
        <v>0.11476627345056475</v>
      </c>
      <c r="AG23" s="87">
        <f>(N23/(P23*10000)*1000000)/$AX$16</f>
        <v>2.0736344392557382</v>
      </c>
      <c r="AH23" s="87">
        <f>(O23/(P23*10000)*1000000)/$AV$16</f>
        <v>1.8914393950869994</v>
      </c>
      <c r="AI23" s="87">
        <f>AD23/AA23</f>
        <v>0.76035728451117968</v>
      </c>
      <c r="AJ23" s="113"/>
      <c r="AK23" s="174">
        <f t="shared" si="0"/>
        <v>0.24676249827143287</v>
      </c>
      <c r="AL23" s="174">
        <f t="shared" si="1"/>
        <v>0.20427545466939595</v>
      </c>
      <c r="AM23" s="174">
        <f t="shared" si="2"/>
        <v>0.82782212086659057</v>
      </c>
      <c r="AN23" s="187">
        <f>O23/T23</f>
        <v>1.452</v>
      </c>
      <c r="AO23" s="187">
        <f>N23/T23</f>
        <v>1.754</v>
      </c>
      <c r="AP23" s="174">
        <f t="shared" si="3"/>
        <v>0.81264287078034503</v>
      </c>
      <c r="AQ23" s="189">
        <f t="shared" si="4"/>
        <v>22.403769805291162</v>
      </c>
      <c r="AR23" s="154">
        <f t="shared" si="5"/>
        <v>1.4525785602352019</v>
      </c>
      <c r="AS23" s="189">
        <f t="shared" si="6"/>
        <v>21.551060467621276</v>
      </c>
      <c r="AT23" s="136"/>
      <c r="AU23" s="117"/>
      <c r="AV23" s="155">
        <f>(AV$16*(P23/100))/N23</f>
        <v>0.43766780104974695</v>
      </c>
      <c r="AW23" s="155">
        <f>(AW$16*(Q23/100))/N23</f>
        <v>0.10783922462941847</v>
      </c>
      <c r="AX23" s="155">
        <f>1-(AV23+AW23)</f>
        <v>0.45449297432083458</v>
      </c>
      <c r="AY23" s="155">
        <f>(AX$16*(P23/100))/O23</f>
        <v>0.58254673912043087</v>
      </c>
      <c r="AZ23" s="155">
        <f>1-(AY23)</f>
        <v>0.41745326087956913</v>
      </c>
      <c r="BA23" s="117"/>
      <c r="BB23" s="117"/>
      <c r="BC23" s="117"/>
    </row>
    <row r="24" spans="1:55" s="116" customFormat="1">
      <c r="A24" s="148">
        <v>1367</v>
      </c>
      <c r="B24" s="113">
        <v>100.5</v>
      </c>
      <c r="C24" s="113">
        <v>101</v>
      </c>
      <c r="D24" s="113">
        <f>(B24+C24)/2</f>
        <v>100.75</v>
      </c>
      <c r="E24" s="113"/>
      <c r="F24" s="113"/>
      <c r="G24" s="117">
        <v>-0.13519007624107626</v>
      </c>
      <c r="H24" s="162">
        <v>0.05</v>
      </c>
      <c r="I24" s="175">
        <v>0.4</v>
      </c>
      <c r="J24" s="112">
        <v>0.01</v>
      </c>
      <c r="K24" s="156">
        <v>90.793633825745488</v>
      </c>
      <c r="L24" s="156">
        <v>8</v>
      </c>
      <c r="M24" s="113"/>
      <c r="N24" s="178">
        <v>4.4000000000000004</v>
      </c>
      <c r="O24" s="178">
        <v>2.1859999999999999</v>
      </c>
      <c r="P24" s="178">
        <v>5.98378802747792</v>
      </c>
      <c r="Q24" s="179">
        <v>10.34</v>
      </c>
      <c r="R24" s="180">
        <v>1138.6866</v>
      </c>
      <c r="S24" s="178">
        <v>4.8099999999999996</v>
      </c>
      <c r="T24" s="84">
        <f>(1.19+0.86)/2</f>
        <v>1.0249999999999999</v>
      </c>
      <c r="U24" s="183"/>
      <c r="V24" s="184">
        <v>144.20320000000001</v>
      </c>
      <c r="W24" s="183">
        <v>613</v>
      </c>
      <c r="X24" s="184">
        <v>7.4589999999999996</v>
      </c>
      <c r="Y24" s="184">
        <v>124.146</v>
      </c>
      <c r="Z24" s="113"/>
      <c r="AA24" s="149">
        <f>AX24*N24</f>
        <v>3.4177008930323849</v>
      </c>
      <c r="AB24" s="150">
        <f>(G24-(AV24*$AV$17)-($AW$17*AW24))/AX24</f>
        <v>-7.7988569425090803E-2</v>
      </c>
      <c r="AC24" s="151">
        <f>$H24*(AB24-$AV$17)/($G24-$AV$17)*(1/AX24)</f>
        <v>8.6712280019875659E-2</v>
      </c>
      <c r="AD24" s="152">
        <f>O24*AZ24</f>
        <v>1.4739292247301274</v>
      </c>
      <c r="AE24" s="150">
        <f>(I24-(AY24*$AX$17))/AZ24</f>
        <v>0.59324422457265569</v>
      </c>
      <c r="AF24" s="153">
        <f>$J24*(AE24-$AX$17)/($I24-$AX$17)*(1/AZ24)</f>
        <v>2.1996169374300718E-2</v>
      </c>
      <c r="AG24" s="87">
        <f>(N24/(P24*10000)*1000000)/$AX$16</f>
        <v>6.1791610508553951</v>
      </c>
      <c r="AH24" s="87">
        <f>(O24/(P24*10000)*1000000)/$AV$16</f>
        <v>3.3825965505118201</v>
      </c>
      <c r="AI24" s="87">
        <f>AD24/AA24</f>
        <v>0.43126337583695656</v>
      </c>
      <c r="AJ24" s="113"/>
      <c r="AK24" s="174">
        <f t="shared" si="0"/>
        <v>0.73532016505179187</v>
      </c>
      <c r="AL24" s="174">
        <f t="shared" si="1"/>
        <v>0.36532042745527654</v>
      </c>
      <c r="AM24" s="174">
        <f t="shared" si="2"/>
        <v>0.49681818181818177</v>
      </c>
      <c r="AN24" s="187">
        <f>O24/T24</f>
        <v>2.1326829268292684</v>
      </c>
      <c r="AO24" s="187">
        <f>N24/T24</f>
        <v>4.2926829268292694</v>
      </c>
      <c r="AP24" s="174">
        <f t="shared" si="3"/>
        <v>0.80383863497707231</v>
      </c>
      <c r="AQ24" s="189">
        <f t="shared" si="4"/>
        <v>24.098982005681034</v>
      </c>
      <c r="AR24" s="154">
        <f t="shared" si="5"/>
        <v>1.2465347979821171</v>
      </c>
      <c r="AS24" s="189">
        <f t="shared" si="6"/>
        <v>20.747058456936305</v>
      </c>
      <c r="AT24" s="136"/>
      <c r="AU24" s="117"/>
      <c r="AV24" s="155">
        <f>(AV$16*(P24/100))/N24</f>
        <v>0.14687479703809439</v>
      </c>
      <c r="AW24" s="155">
        <f>(AW$16*(Q24/100))/N24</f>
        <v>7.6374999999999985E-2</v>
      </c>
      <c r="AX24" s="155">
        <f>1-(AV24+AW24)</f>
        <v>0.77675020296190556</v>
      </c>
      <c r="AY24" s="155">
        <f>(AX$16*(P24/100))/O24</f>
        <v>0.32574143424971297</v>
      </c>
      <c r="AZ24" s="155">
        <f>1-(AY24)</f>
        <v>0.67425856575028709</v>
      </c>
      <c r="BA24" s="117"/>
      <c r="BB24" s="117"/>
      <c r="BC24" s="117"/>
    </row>
    <row r="25" spans="1:55" s="116" customFormat="1">
      <c r="A25" s="148">
        <v>1372</v>
      </c>
      <c r="B25" s="113">
        <v>105.5</v>
      </c>
      <c r="C25" s="113">
        <v>106</v>
      </c>
      <c r="D25" s="113">
        <v>105.75</v>
      </c>
      <c r="E25" s="113"/>
      <c r="F25" s="113"/>
      <c r="G25" s="117"/>
      <c r="H25" s="162"/>
      <c r="I25" s="176"/>
      <c r="J25" s="112"/>
      <c r="K25" s="156"/>
      <c r="L25" s="156"/>
      <c r="M25" s="113"/>
      <c r="N25" s="178">
        <v>2.5139999999999998</v>
      </c>
      <c r="O25" s="178">
        <v>1.6859999999999999</v>
      </c>
      <c r="P25" s="178">
        <v>4.08</v>
      </c>
      <c r="Q25" s="179">
        <v>14.25</v>
      </c>
      <c r="R25" s="180">
        <v>1751.2451000000001</v>
      </c>
      <c r="S25" s="178">
        <v>2.8526978707417032</v>
      </c>
      <c r="T25" s="84"/>
      <c r="U25" s="183"/>
      <c r="V25" s="184">
        <v>134</v>
      </c>
      <c r="W25" s="183">
        <v>837</v>
      </c>
      <c r="X25" s="184">
        <v>2.9159999999999999</v>
      </c>
      <c r="Y25" s="184">
        <v>82.683999999999997</v>
      </c>
      <c r="Z25" s="113"/>
      <c r="AA25" s="149"/>
      <c r="AB25" s="150"/>
      <c r="AC25" s="151"/>
      <c r="AD25" s="152"/>
      <c r="AE25" s="150"/>
      <c r="AF25" s="153"/>
      <c r="AG25" s="87"/>
      <c r="AH25" s="87"/>
      <c r="AI25" s="87"/>
      <c r="AJ25" s="113"/>
      <c r="AK25" s="174">
        <f t="shared" si="0"/>
        <v>0.61617647058823521</v>
      </c>
      <c r="AL25" s="174">
        <f t="shared" si="1"/>
        <v>0.41323529411764703</v>
      </c>
      <c r="AM25" s="174">
        <f t="shared" si="2"/>
        <v>0.6706443914081146</v>
      </c>
      <c r="AN25" s="187"/>
      <c r="AO25" s="187"/>
      <c r="AP25" s="174">
        <f t="shared" si="3"/>
        <v>0.69919065459355467</v>
      </c>
      <c r="AQ25" s="189">
        <f t="shared" si="4"/>
        <v>32.843137254901961</v>
      </c>
      <c r="AR25" s="154">
        <f t="shared" si="5"/>
        <v>0.71470588235294119</v>
      </c>
      <c r="AS25" s="189">
        <f t="shared" si="6"/>
        <v>20.265686274509804</v>
      </c>
      <c r="AT25" s="136"/>
      <c r="AU25" s="117"/>
      <c r="AV25" s="112"/>
      <c r="AW25" s="112"/>
      <c r="AX25" s="112"/>
      <c r="AY25" s="112"/>
      <c r="AZ25" s="112"/>
      <c r="BA25" s="117"/>
      <c r="BB25" s="117"/>
      <c r="BC25" s="117"/>
    </row>
    <row r="26" spans="1:55" s="116" customFormat="1">
      <c r="A26" s="148">
        <v>1377</v>
      </c>
      <c r="B26" s="113">
        <v>110.5</v>
      </c>
      <c r="C26" s="113">
        <v>111</v>
      </c>
      <c r="D26" s="113">
        <v>110.75</v>
      </c>
      <c r="E26" s="113"/>
      <c r="F26" s="113"/>
      <c r="G26" s="117"/>
      <c r="H26" s="162"/>
      <c r="I26" s="176"/>
      <c r="J26" s="112"/>
      <c r="K26" s="156"/>
      <c r="L26" s="156"/>
      <c r="M26" s="113"/>
      <c r="N26" s="178">
        <v>6.12</v>
      </c>
      <c r="O26" s="178">
        <v>9.0470000000000006</v>
      </c>
      <c r="P26" s="178">
        <v>4.54</v>
      </c>
      <c r="Q26" s="179">
        <v>13.12</v>
      </c>
      <c r="R26" s="180">
        <v>763.80840000000001</v>
      </c>
      <c r="S26" s="178">
        <v>3.5648689985103323</v>
      </c>
      <c r="T26" s="84"/>
      <c r="U26" s="185">
        <v>0.43</v>
      </c>
      <c r="V26" s="184">
        <v>765</v>
      </c>
      <c r="W26" s="183">
        <v>726</v>
      </c>
      <c r="X26" s="184">
        <v>16.23</v>
      </c>
      <c r="Y26" s="184">
        <v>113.393</v>
      </c>
      <c r="Z26" s="113"/>
      <c r="AA26" s="149"/>
      <c r="AB26" s="150"/>
      <c r="AC26" s="151"/>
      <c r="AD26" s="152"/>
      <c r="AE26" s="150"/>
      <c r="AF26" s="153"/>
      <c r="AG26" s="87"/>
      <c r="AH26" s="87"/>
      <c r="AI26" s="87"/>
      <c r="AJ26" s="113"/>
      <c r="AK26" s="174">
        <f t="shared" si="0"/>
        <v>1.3480176211453745</v>
      </c>
      <c r="AL26" s="174">
        <f t="shared" si="1"/>
        <v>1.9927312775330397</v>
      </c>
      <c r="AM26" s="174">
        <f t="shared" si="2"/>
        <v>1.4782679738562092</v>
      </c>
      <c r="AN26" s="187"/>
      <c r="AO26" s="187"/>
      <c r="AP26" s="174">
        <f t="shared" si="3"/>
        <v>0.7852134357952274</v>
      </c>
      <c r="AQ26" s="189">
        <f t="shared" si="4"/>
        <v>168.50220264317181</v>
      </c>
      <c r="AR26" s="154">
        <f t="shared" si="5"/>
        <v>3.5748898678414096</v>
      </c>
      <c r="AS26" s="189">
        <f t="shared" si="6"/>
        <v>24.976431718061676</v>
      </c>
      <c r="AT26" s="136"/>
      <c r="AU26" s="117"/>
      <c r="AV26" s="112"/>
      <c r="AW26" s="112"/>
      <c r="AX26" s="112"/>
      <c r="AY26" s="112"/>
      <c r="AZ26" s="112"/>
      <c r="BA26" s="117"/>
      <c r="BB26" s="117"/>
      <c r="BC26" s="117"/>
    </row>
    <row r="27" spans="1:55" s="230" customFormat="1">
      <c r="A27" s="205">
        <v>1378</v>
      </c>
      <c r="B27" s="206">
        <v>111.5</v>
      </c>
      <c r="C27" s="206">
        <v>112</v>
      </c>
      <c r="D27" s="206">
        <f>(B27+C27)/2</f>
        <v>111.75</v>
      </c>
      <c r="E27" s="206"/>
      <c r="F27" s="206"/>
      <c r="G27" s="207">
        <v>0.11653472709627355</v>
      </c>
      <c r="H27" s="208">
        <v>0.05</v>
      </c>
      <c r="I27" s="209">
        <v>-0.16</v>
      </c>
      <c r="J27" s="210">
        <v>0.02</v>
      </c>
      <c r="K27" s="231">
        <v>129.52165535849934</v>
      </c>
      <c r="L27" s="231">
        <v>8</v>
      </c>
      <c r="M27" s="206"/>
      <c r="N27" s="211">
        <v>9.2149999999999999</v>
      </c>
      <c r="O27" s="211">
        <v>15.4305</v>
      </c>
      <c r="P27" s="211">
        <v>5.0222383763925409</v>
      </c>
      <c r="Q27" s="212">
        <v>12.72</v>
      </c>
      <c r="R27" s="213">
        <v>804.84410000000003</v>
      </c>
      <c r="S27" s="211">
        <v>3.9535385818096431</v>
      </c>
      <c r="T27" s="214">
        <f>AVERAGE(1.95,3.34)</f>
        <v>2.645</v>
      </c>
      <c r="U27" s="215">
        <v>0.66</v>
      </c>
      <c r="V27" s="216">
        <v>847.71440000000007</v>
      </c>
      <c r="W27" s="217">
        <v>700</v>
      </c>
      <c r="X27" s="216">
        <v>21.465</v>
      </c>
      <c r="Y27" s="216">
        <v>109.52200000000001</v>
      </c>
      <c r="Z27" s="206"/>
      <c r="AA27" s="218">
        <f>AX27*N27</f>
        <v>8.2591982553496042</v>
      </c>
      <c r="AB27" s="219">
        <f>(G27-(AV27*$AV$17)-($AW$17*AW27))/AX27</f>
        <v>0.16974384077524915</v>
      </c>
      <c r="AC27" s="220">
        <f>$H27*(AB27-$AV$17)/($G27-$AV$17)*(1/AX27)</f>
        <v>6.2912556314815848E-2</v>
      </c>
      <c r="AD27" s="221">
        <f>O27*AZ27</f>
        <v>14.832853633209288</v>
      </c>
      <c r="AE27" s="219">
        <f>(I27-(AY27*$AX$17))/AZ27</f>
        <v>-0.16644673109107089</v>
      </c>
      <c r="AF27" s="222">
        <f>$J27*(AE27-$AX$17)/($I27-$AX$17)*(1/AZ27)</f>
        <v>2.1644151789768175E-2</v>
      </c>
      <c r="AG27" s="223">
        <f>(N27/(P27*10000)*1000000)/$AX$16</f>
        <v>15.418817066492712</v>
      </c>
      <c r="AH27" s="223">
        <f>(O27/(P27*10000)*1000000)/$AV$16</f>
        <v>28.448470441306828</v>
      </c>
      <c r="AI27" s="223">
        <f>AD27/AA27</f>
        <v>1.7959193101584443</v>
      </c>
      <c r="AJ27" s="206"/>
      <c r="AK27" s="224">
        <f t="shared" si="0"/>
        <v>1.8348392309126329</v>
      </c>
      <c r="AL27" s="224">
        <f t="shared" si="1"/>
        <v>3.0724348076611374</v>
      </c>
      <c r="AM27" s="224">
        <f t="shared" si="2"/>
        <v>1.6744981009224091</v>
      </c>
      <c r="AN27" s="225">
        <f>O27/T27</f>
        <v>5.8338374291115311</v>
      </c>
      <c r="AO27" s="225">
        <f>N27/T27</f>
        <v>3.483931947069943</v>
      </c>
      <c r="AP27" s="224">
        <f t="shared" si="3"/>
        <v>0.78720647757254769</v>
      </c>
      <c r="AQ27" s="226">
        <f t="shared" si="4"/>
        <v>168.79214733907369</v>
      </c>
      <c r="AR27" s="227">
        <f t="shared" si="5"/>
        <v>4.2739906773238925</v>
      </c>
      <c r="AS27" s="226">
        <f t="shared" si="6"/>
        <v>21.807407731743179</v>
      </c>
      <c r="AT27" s="228"/>
      <c r="AU27" s="207"/>
      <c r="AV27" s="229">
        <f>(AV$16*(P27/100))/N27</f>
        <v>5.8860742772696095E-2</v>
      </c>
      <c r="AW27" s="229">
        <f>(AW$16*(Q27/100))/N27</f>
        <v>4.4861638632664139E-2</v>
      </c>
      <c r="AX27" s="229">
        <f>1-(AV27+AW27)</f>
        <v>0.89627761859463972</v>
      </c>
      <c r="AY27" s="229">
        <f>(AX$16*(P27/100))/O27</f>
        <v>3.8731497151143018E-2</v>
      </c>
      <c r="AZ27" s="229">
        <f>1-(AY27)</f>
        <v>0.96126850284885701</v>
      </c>
      <c r="BA27" s="207"/>
      <c r="BB27" s="207"/>
      <c r="BC27" s="207"/>
    </row>
    <row r="28" spans="1:55" s="239" customFormat="1">
      <c r="A28" s="232">
        <v>1379</v>
      </c>
      <c r="B28" s="233">
        <v>112.5</v>
      </c>
      <c r="C28" s="233">
        <v>113</v>
      </c>
      <c r="D28" s="233">
        <f>(B28+C28)/2</f>
        <v>112.75</v>
      </c>
      <c r="E28" s="233"/>
      <c r="F28" s="233"/>
      <c r="G28" s="234">
        <v>0.13229408951531685</v>
      </c>
      <c r="H28" s="235">
        <v>0.05</v>
      </c>
      <c r="I28" s="209">
        <v>-0.28000000000000003</v>
      </c>
      <c r="J28" s="210">
        <v>0.02</v>
      </c>
      <c r="K28" s="240">
        <v>124.28362244017163</v>
      </c>
      <c r="L28" s="240">
        <v>8</v>
      </c>
      <c r="M28" s="233"/>
      <c r="N28" s="211">
        <v>11.657999999999999</v>
      </c>
      <c r="O28" s="211">
        <v>12.6837</v>
      </c>
      <c r="P28" s="211">
        <v>5.9212926039646714</v>
      </c>
      <c r="Q28" s="212">
        <v>9.5299999999999994</v>
      </c>
      <c r="R28" s="213">
        <v>822.4547</v>
      </c>
      <c r="S28" s="211">
        <v>4.7273991498681909</v>
      </c>
      <c r="T28" s="214">
        <v>3.34</v>
      </c>
      <c r="U28" s="215">
        <v>0.55000000000000004</v>
      </c>
      <c r="V28" s="216">
        <v>429.21420000000001</v>
      </c>
      <c r="W28" s="217">
        <v>498</v>
      </c>
      <c r="X28" s="216">
        <v>21.8</v>
      </c>
      <c r="Y28" s="216">
        <v>132.03800000000001</v>
      </c>
      <c r="Z28" s="233"/>
      <c r="AA28" s="236">
        <f>AX28*N28</f>
        <v>10.708775398771815</v>
      </c>
      <c r="AB28" s="219">
        <f>(G28-(AV28*$AV$17)-($AW$17*AW28))/AX28</f>
        <v>0.17350484128662508</v>
      </c>
      <c r="AC28" s="220">
        <f>$H28*(AB28-$AV$17)/($G28-$AV$17)*(1/AX28)</f>
        <v>5.9621015836730622E-2</v>
      </c>
      <c r="AD28" s="221">
        <f>O28*AZ28</f>
        <v>11.979066180128203</v>
      </c>
      <c r="AE28" s="219">
        <f>(I28-(AY28*$AX$17))/AZ28</f>
        <v>-0.29647018779238365</v>
      </c>
      <c r="AF28" s="222">
        <f>$J28*(AE28-$AX$17)/($I28-$AX$17)*(1/AZ28)</f>
        <v>2.2422084757564083E-2</v>
      </c>
      <c r="AG28" s="223">
        <f>(N28/(P28*10000)*1000000)/$AX$16</f>
        <v>16.544763636410622</v>
      </c>
      <c r="AH28" s="223">
        <f>(O28/(P28*10000)*1000000)/$AV$16</f>
        <v>19.833788755521422</v>
      </c>
      <c r="AI28" s="223">
        <f>AD28/AA28</f>
        <v>1.118621479492611</v>
      </c>
      <c r="AJ28" s="233"/>
      <c r="AK28" s="237">
        <f t="shared" si="0"/>
        <v>1.9688268727328637</v>
      </c>
      <c r="AL28" s="237">
        <f t="shared" si="1"/>
        <v>2.1420491855963135</v>
      </c>
      <c r="AM28" s="237">
        <f t="shared" si="2"/>
        <v>1.0879825012866702</v>
      </c>
      <c r="AN28" s="225">
        <f>O28/T28</f>
        <v>3.7975149700598805</v>
      </c>
      <c r="AO28" s="225">
        <f>N28/T28</f>
        <v>3.4904191616766469</v>
      </c>
      <c r="AP28" s="224">
        <f t="shared" si="3"/>
        <v>0.79837283276676874</v>
      </c>
      <c r="AQ28" s="226">
        <f t="shared" si="4"/>
        <v>72.486571549025385</v>
      </c>
      <c r="AR28" s="227">
        <f t="shared" si="5"/>
        <v>3.6816285662700663</v>
      </c>
      <c r="AS28" s="226">
        <f t="shared" si="6"/>
        <v>22.298847368493902</v>
      </c>
      <c r="AT28" s="228"/>
      <c r="AU28" s="234"/>
      <c r="AV28" s="238">
        <f>(AV$16*(P28/100))/N28</f>
        <v>5.4855000963131298E-2</v>
      </c>
      <c r="AW28" s="238">
        <f>(AW$16*(Q28/100))/N28</f>
        <v>2.6567593069137072E-2</v>
      </c>
      <c r="AX28" s="238">
        <f>1-(AV28+AW28)</f>
        <v>0.91857740596773163</v>
      </c>
      <c r="AY28" s="229">
        <f>(AX$16*(P28/100))/O28</f>
        <v>5.5554279892444318E-2</v>
      </c>
      <c r="AZ28" s="229">
        <f>1-(AY28)</f>
        <v>0.94444572010755568</v>
      </c>
      <c r="BA28" s="234"/>
      <c r="BB28" s="234"/>
      <c r="BC28" s="234"/>
    </row>
    <row r="29" spans="1:55" s="239" customFormat="1">
      <c r="A29" s="232">
        <v>1381</v>
      </c>
      <c r="B29" s="233">
        <v>114.5</v>
      </c>
      <c r="C29" s="233">
        <v>115</v>
      </c>
      <c r="D29" s="233">
        <f>(B29+C29)/2</f>
        <v>114.75</v>
      </c>
      <c r="E29" s="233"/>
      <c r="F29" s="233"/>
      <c r="G29" s="234">
        <v>0.21454286293332014</v>
      </c>
      <c r="H29" s="235">
        <v>0.05</v>
      </c>
      <c r="I29" s="209">
        <v>0.05</v>
      </c>
      <c r="J29" s="210">
        <v>0.02</v>
      </c>
      <c r="K29" s="240">
        <v>130.04863673924646</v>
      </c>
      <c r="L29" s="240">
        <v>8</v>
      </c>
      <c r="M29" s="233"/>
      <c r="N29" s="211">
        <v>17.463000000000001</v>
      </c>
      <c r="O29" s="211">
        <v>18.776700000000002</v>
      </c>
      <c r="P29" s="211">
        <v>5.505020275642786</v>
      </c>
      <c r="Q29" s="212">
        <v>8.77</v>
      </c>
      <c r="R29" s="213">
        <v>700.67729999999995</v>
      </c>
      <c r="S29" s="211">
        <v>4.0278016595472756</v>
      </c>
      <c r="T29" s="214">
        <f>AVERAGE(3.6)</f>
        <v>3.6</v>
      </c>
      <c r="U29" s="215">
        <v>0.74</v>
      </c>
      <c r="V29" s="216">
        <v>209.93819999999999</v>
      </c>
      <c r="W29" s="217">
        <v>422</v>
      </c>
      <c r="X29" s="216">
        <v>24.992999999999999</v>
      </c>
      <c r="Y29" s="216">
        <v>186.893</v>
      </c>
      <c r="Z29" s="233"/>
      <c r="AA29" s="236">
        <f>AX29*N29</f>
        <v>16.58343281023058</v>
      </c>
      <c r="AB29" s="219">
        <f>(G29-(AV29*$AV$17)-($AW$17*AW29))/AX29</f>
        <v>0.24355238861303277</v>
      </c>
      <c r="AC29" s="220">
        <f>$H29*(AB29-$AV$17)/($G29-$AV$17)*(1/AX29)</f>
        <v>5.562042112724426E-2</v>
      </c>
      <c r="AD29" s="221">
        <f>O29*AZ29</f>
        <v>18.12160258719851</v>
      </c>
      <c r="AE29" s="219">
        <f>(I29-(AY29*$AX$17))/AZ29</f>
        <v>5.1807504081521655E-2</v>
      </c>
      <c r="AF29" s="222">
        <f>$J29*(AE29-$AX$17)/($I29-$AX$17)*(1/AZ29)</f>
        <v>2.147213983325506E-2</v>
      </c>
      <c r="AG29" s="223">
        <f>(N29/(P29*10000)*1000000)/$AX$16</f>
        <v>26.65710420885399</v>
      </c>
      <c r="AH29" s="223">
        <f>(O29/(P29*10000)*1000000)/$AV$16</f>
        <v>31.581778926878339</v>
      </c>
      <c r="AI29" s="223">
        <f>AD29/AA29</f>
        <v>1.0927534000088936</v>
      </c>
      <c r="AJ29" s="233"/>
      <c r="AK29" s="237">
        <f t="shared" si="0"/>
        <v>3.1721954008536253</v>
      </c>
      <c r="AL29" s="237">
        <f t="shared" si="1"/>
        <v>3.410832124102861</v>
      </c>
      <c r="AM29" s="237">
        <f t="shared" si="2"/>
        <v>1.0752276241195671</v>
      </c>
      <c r="AN29" s="225">
        <f>O29/T29</f>
        <v>5.2157500000000008</v>
      </c>
      <c r="AO29" s="225">
        <f>N29/T29</f>
        <v>4.8508333333333331</v>
      </c>
      <c r="AP29" s="224">
        <f t="shared" si="3"/>
        <v>0.73165973200288981</v>
      </c>
      <c r="AQ29" s="226">
        <f t="shared" si="4"/>
        <v>38.135772347448231</v>
      </c>
      <c r="AR29" s="227">
        <f t="shared" si="5"/>
        <v>4.5400377743534701</v>
      </c>
      <c r="AS29" s="226">
        <f t="shared" si="6"/>
        <v>33.949557066468337</v>
      </c>
      <c r="AT29" s="228"/>
      <c r="AU29" s="234"/>
      <c r="AV29" s="238">
        <f>(AV$16*(P29/100))/N29</f>
        <v>3.40458220105034E-2</v>
      </c>
      <c r="AW29" s="238">
        <f>(AW$16*(Q29/100))/N29</f>
        <v>1.6321651491725361E-2</v>
      </c>
      <c r="AX29" s="238">
        <f>1-(AV29+AW29)</f>
        <v>0.94963252649777119</v>
      </c>
      <c r="AY29" s="229">
        <f>(AX$16*(P29/100))/O29</f>
        <v>3.488884696466852E-2</v>
      </c>
      <c r="AZ29" s="229">
        <f>1-(AY29)</f>
        <v>0.96511115303533146</v>
      </c>
      <c r="BA29" s="234"/>
      <c r="BB29" s="234"/>
      <c r="BC29" s="234"/>
    </row>
    <row r="30" spans="1:55" s="230" customFormat="1">
      <c r="A30" s="205">
        <v>1382</v>
      </c>
      <c r="B30" s="206">
        <v>115.5</v>
      </c>
      <c r="C30" s="206">
        <v>116</v>
      </c>
      <c r="D30" s="206">
        <f>(B30+C30)/2</f>
        <v>115.75</v>
      </c>
      <c r="E30" s="206"/>
      <c r="F30" s="206"/>
      <c r="G30" s="207">
        <v>0.44407091719605996</v>
      </c>
      <c r="H30" s="208">
        <v>0.05</v>
      </c>
      <c r="I30" s="209">
        <v>-0.04</v>
      </c>
      <c r="J30" s="210">
        <v>0.02</v>
      </c>
      <c r="K30" s="231">
        <v>125.31199360319897</v>
      </c>
      <c r="L30" s="231">
        <v>8</v>
      </c>
      <c r="M30" s="206"/>
      <c r="N30" s="211">
        <v>19.82</v>
      </c>
      <c r="O30" s="211">
        <v>12.954600000000001</v>
      </c>
      <c r="P30" s="211">
        <v>5.0933917269165843</v>
      </c>
      <c r="Q30" s="212">
        <v>9.59</v>
      </c>
      <c r="R30" s="213">
        <v>768.06979999999999</v>
      </c>
      <c r="S30" s="211">
        <v>3.9801556458024421</v>
      </c>
      <c r="T30" s="214">
        <f>AVERAGE(3.34,4.22)</f>
        <v>3.78</v>
      </c>
      <c r="U30" s="215">
        <v>0.73</v>
      </c>
      <c r="V30" s="216">
        <v>185.98549999999997</v>
      </c>
      <c r="W30" s="217">
        <v>455</v>
      </c>
      <c r="X30" s="216">
        <v>22.18</v>
      </c>
      <c r="Y30" s="216">
        <v>167.74799999999999</v>
      </c>
      <c r="Z30" s="206"/>
      <c r="AA30" s="218">
        <f>AX30*N30</f>
        <v>18.958238693493008</v>
      </c>
      <c r="AB30" s="219">
        <f>(G30-(AV30*$AV$17)-($AW$17*AW30))/AX30</f>
        <v>0.4795372406561349</v>
      </c>
      <c r="AC30" s="220">
        <f>$H30*(AB30-$AV$17)/($G30-$AV$17)*(1/AX30)</f>
        <v>5.4764383747461141E-2</v>
      </c>
      <c r="AD30" s="221">
        <f>O30*AZ30</f>
        <v>12.348486384496928</v>
      </c>
      <c r="AE30" s="219">
        <f>(I30-(AY30*$AX$17))/AZ30</f>
        <v>-4.1963361651397295E-2</v>
      </c>
      <c r="AF30" s="222">
        <f>$J30*(AE30-$AX$17)/($I30-$AX$17)*(1/AZ30)</f>
        <v>2.2011546513574516E-2</v>
      </c>
      <c r="AG30" s="223">
        <f>(N30/(P30*10000)*1000000)/$AX$16</f>
        <v>32.700139863298439</v>
      </c>
      <c r="AH30" s="223">
        <f>(O30/(P30*10000)*1000000)/$AV$16</f>
        <v>23.550122674859495</v>
      </c>
      <c r="AI30" s="223">
        <f>AD30/AA30</f>
        <v>0.65135198391268645</v>
      </c>
      <c r="AJ30" s="206"/>
      <c r="AK30" s="224">
        <f t="shared" si="0"/>
        <v>3.8913166437325146</v>
      </c>
      <c r="AL30" s="224">
        <f t="shared" si="1"/>
        <v>2.5434132488848253</v>
      </c>
      <c r="AM30" s="224">
        <f t="shared" si="2"/>
        <v>0.65361251261352171</v>
      </c>
      <c r="AN30" s="225">
        <f>O30/T30</f>
        <v>3.4271428571428575</v>
      </c>
      <c r="AO30" s="225">
        <f>N30/T30</f>
        <v>5.2433862433862437</v>
      </c>
      <c r="AP30" s="224">
        <f t="shared" si="3"/>
        <v>0.78143521236917146</v>
      </c>
      <c r="AQ30" s="226">
        <f t="shared" si="4"/>
        <v>36.515059114173233</v>
      </c>
      <c r="AR30" s="227">
        <f t="shared" si="5"/>
        <v>4.3546621169519257</v>
      </c>
      <c r="AS30" s="226">
        <f t="shared" si="6"/>
        <v>32.934439170173654</v>
      </c>
      <c r="AT30" s="228"/>
      <c r="AU30" s="207"/>
      <c r="AV30" s="229">
        <f>(AV$16*(P30/100))/N30</f>
        <v>2.7754102245559596E-2</v>
      </c>
      <c r="AW30" s="229">
        <f>(AW$16*(Q30/100))/N30</f>
        <v>1.5725277497477295E-2</v>
      </c>
      <c r="AX30" s="229">
        <f>1-(AV30+AW30)</f>
        <v>0.95652062025696316</v>
      </c>
      <c r="AY30" s="229">
        <f>(AX$16*(P30/100))/O30</f>
        <v>4.6787520687869441E-2</v>
      </c>
      <c r="AZ30" s="229">
        <f>1-(AY30)</f>
        <v>0.9532124793121306</v>
      </c>
      <c r="BA30" s="207"/>
      <c r="BB30" s="207"/>
      <c r="BC30" s="207"/>
    </row>
    <row r="31" spans="1:55" s="230" customFormat="1">
      <c r="A31" s="205">
        <v>1383</v>
      </c>
      <c r="B31" s="206">
        <v>116.5</v>
      </c>
      <c r="C31" s="206">
        <v>117</v>
      </c>
      <c r="D31" s="206">
        <f>(B31+C31)/2</f>
        <v>116.75</v>
      </c>
      <c r="E31" s="206"/>
      <c r="F31" s="206"/>
      <c r="G31" s="207">
        <v>0.39876916448783328</v>
      </c>
      <c r="H31" s="208">
        <v>0.05</v>
      </c>
      <c r="I31" s="209">
        <v>-0.37</v>
      </c>
      <c r="J31" s="210">
        <v>0.01</v>
      </c>
      <c r="K31" s="231">
        <v>118.47563971438467</v>
      </c>
      <c r="L31" s="231">
        <v>8</v>
      </c>
      <c r="M31" s="206"/>
      <c r="N31" s="211">
        <v>11.819000000000001</v>
      </c>
      <c r="O31" s="211">
        <v>17.198100000000004</v>
      </c>
      <c r="P31" s="211">
        <v>4.0719313257271832</v>
      </c>
      <c r="Q31" s="212">
        <v>10.56</v>
      </c>
      <c r="R31" s="213">
        <v>732.28559999999993</v>
      </c>
      <c r="S31" s="211">
        <v>3.156853760328429</v>
      </c>
      <c r="T31" s="214">
        <f>AVERAGE(4)</f>
        <v>4</v>
      </c>
      <c r="U31" s="215">
        <v>0.82</v>
      </c>
      <c r="V31" s="216">
        <v>573.89469999999994</v>
      </c>
      <c r="W31" s="217">
        <v>543</v>
      </c>
      <c r="X31" s="216">
        <v>24.605</v>
      </c>
      <c r="Y31" s="216">
        <v>132.96899999999999</v>
      </c>
      <c r="Z31" s="206"/>
      <c r="AA31" s="218">
        <f>AX31*N31</f>
        <v>11.036031416821464</v>
      </c>
      <c r="AB31" s="219">
        <f>(G31-(AV31*$AV$17)-($AW$17*AW31))/AX31</f>
        <v>0.4514542539667965</v>
      </c>
      <c r="AC31" s="220">
        <f>$H31*(AB31-$AV$17)/($G31-$AV$17)*(1/AX31)</f>
        <v>5.758463575841416E-2</v>
      </c>
      <c r="AD31" s="221">
        <f>O31*AZ31</f>
        <v>16.713540172238471</v>
      </c>
      <c r="AE31" s="219">
        <f>(I31-(AY31*$AX$17))/AZ31</f>
        <v>-0.3807270592839192</v>
      </c>
      <c r="AF31" s="222">
        <f>$J31*(AE31-$AX$17)/($I31-$AX$17)*(1/AZ31)</f>
        <v>1.0588246433234546E-2</v>
      </c>
      <c r="AG31" s="223">
        <f>(N31/(P31*10000)*1000000)/$AX$16</f>
        <v>24.391208934093594</v>
      </c>
      <c r="AH31" s="223">
        <f>(O31/(P31*10000)*1000000)/$AV$16</f>
        <v>39.107159214731752</v>
      </c>
      <c r="AI31" s="223">
        <f>AD31/AA31</f>
        <v>1.5144520290838581</v>
      </c>
      <c r="AJ31" s="206"/>
      <c r="AK31" s="224">
        <f t="shared" si="0"/>
        <v>2.9025538631571379</v>
      </c>
      <c r="AL31" s="224">
        <f t="shared" si="1"/>
        <v>4.2235731951910296</v>
      </c>
      <c r="AM31" s="224">
        <f t="shared" si="2"/>
        <v>1.4551231068618329</v>
      </c>
      <c r="AN31" s="225">
        <f>O31/T31</f>
        <v>4.2995250000000009</v>
      </c>
      <c r="AO31" s="225">
        <f>N31/T31</f>
        <v>2.9547500000000002</v>
      </c>
      <c r="AP31" s="224">
        <f t="shared" si="3"/>
        <v>0.77527185696449941</v>
      </c>
      <c r="AQ31" s="226">
        <f t="shared" si="4"/>
        <v>140.93918931638939</v>
      </c>
      <c r="AR31" s="227">
        <f t="shared" si="5"/>
        <v>6.0425871734479539</v>
      </c>
      <c r="AS31" s="226">
        <f t="shared" si="6"/>
        <v>32.655020274992928</v>
      </c>
      <c r="AT31" s="228"/>
      <c r="AU31" s="207"/>
      <c r="AV31" s="229">
        <f>(AV$16*(P31/100))/N31</f>
        <v>3.7208611826595801E-2</v>
      </c>
      <c r="AW31" s="229">
        <f>(AW$16*(Q31/100))/N31</f>
        <v>2.90379896776377E-2</v>
      </c>
      <c r="AX31" s="229">
        <f>1-(AV31+AW31)</f>
        <v>0.93375339849576644</v>
      </c>
      <c r="AY31" s="229">
        <f>(AX$16*(P31/100))/O31</f>
        <v>2.817519538562601E-2</v>
      </c>
      <c r="AZ31" s="229">
        <f>1-(AY31)</f>
        <v>0.97182480461437404</v>
      </c>
      <c r="BA31" s="207"/>
      <c r="BB31" s="207"/>
      <c r="BC31" s="207"/>
    </row>
    <row r="32" spans="1:55" s="230" customFormat="1">
      <c r="A32" s="205">
        <v>1384</v>
      </c>
      <c r="B32" s="206">
        <v>118.5</v>
      </c>
      <c r="C32" s="206">
        <v>119</v>
      </c>
      <c r="D32" s="206">
        <v>118.25</v>
      </c>
      <c r="E32" s="206"/>
      <c r="F32" s="206"/>
      <c r="G32" s="207"/>
      <c r="H32" s="208"/>
      <c r="I32" s="209"/>
      <c r="J32" s="210"/>
      <c r="K32" s="231"/>
      <c r="L32" s="231"/>
      <c r="M32" s="206"/>
      <c r="N32" s="211">
        <v>14.1</v>
      </c>
      <c r="O32" s="211">
        <v>21.75</v>
      </c>
      <c r="P32" s="211">
        <v>4.2</v>
      </c>
      <c r="Q32" s="212">
        <v>14.07</v>
      </c>
      <c r="R32" s="213">
        <v>983.65839999999992</v>
      </c>
      <c r="S32" s="211">
        <v>3.7917359780122113</v>
      </c>
      <c r="T32" s="214"/>
      <c r="U32" s="215">
        <v>1.33</v>
      </c>
      <c r="V32" s="216">
        <v>1001</v>
      </c>
      <c r="W32" s="217">
        <v>698</v>
      </c>
      <c r="X32" s="216">
        <v>28.266999999999999</v>
      </c>
      <c r="Y32" s="216">
        <v>149.12799999999999</v>
      </c>
      <c r="Z32" s="206"/>
      <c r="AA32" s="218"/>
      <c r="AB32" s="219"/>
      <c r="AC32" s="220"/>
      <c r="AD32" s="221"/>
      <c r="AE32" s="219"/>
      <c r="AF32" s="222"/>
      <c r="AG32" s="223"/>
      <c r="AH32" s="223"/>
      <c r="AI32" s="223"/>
      <c r="AJ32" s="206"/>
      <c r="AK32" s="224">
        <f t="shared" si="0"/>
        <v>3.3571428571428568</v>
      </c>
      <c r="AL32" s="224">
        <f t="shared" si="1"/>
        <v>5.1785714285714279</v>
      </c>
      <c r="AM32" s="224">
        <f t="shared" si="2"/>
        <v>1.5425531914893618</v>
      </c>
      <c r="AN32" s="225"/>
      <c r="AO32" s="225"/>
      <c r="AP32" s="224">
        <f t="shared" si="3"/>
        <v>0.90279428047909793</v>
      </c>
      <c r="AQ32" s="226">
        <f t="shared" si="4"/>
        <v>238.33333333333331</v>
      </c>
      <c r="AR32" s="227">
        <f t="shared" si="5"/>
        <v>6.7302380952380947</v>
      </c>
      <c r="AS32" s="226">
        <f t="shared" si="6"/>
        <v>35.506666666666661</v>
      </c>
      <c r="AT32" s="228"/>
      <c r="AU32" s="207"/>
      <c r="AV32" s="229"/>
      <c r="AW32" s="229"/>
      <c r="AX32" s="229"/>
      <c r="AY32" s="229"/>
      <c r="AZ32" s="229"/>
      <c r="BA32" s="207"/>
      <c r="BB32" s="207"/>
      <c r="BC32" s="207"/>
    </row>
    <row r="33" spans="1:55" s="230" customFormat="1">
      <c r="A33" s="205">
        <v>1386</v>
      </c>
      <c r="B33" s="206">
        <v>119.5</v>
      </c>
      <c r="C33" s="206">
        <v>120</v>
      </c>
      <c r="D33" s="206">
        <v>119.75</v>
      </c>
      <c r="E33" s="206"/>
      <c r="F33" s="206"/>
      <c r="G33" s="207"/>
      <c r="H33" s="208"/>
      <c r="I33" s="241"/>
      <c r="J33" s="210"/>
      <c r="K33" s="231"/>
      <c r="L33" s="231"/>
      <c r="M33" s="206"/>
      <c r="N33" s="211">
        <v>11.07</v>
      </c>
      <c r="O33" s="211">
        <v>24.18</v>
      </c>
      <c r="P33" s="211">
        <v>5.08</v>
      </c>
      <c r="Q33" s="212">
        <v>11.8</v>
      </c>
      <c r="R33" s="213">
        <v>889.70030000000008</v>
      </c>
      <c r="S33" s="211">
        <v>4.3346622257958671</v>
      </c>
      <c r="T33" s="214"/>
      <c r="U33" s="215">
        <v>1.22</v>
      </c>
      <c r="V33" s="216">
        <v>827</v>
      </c>
      <c r="W33" s="217">
        <v>607</v>
      </c>
      <c r="X33" s="216">
        <v>36.073</v>
      </c>
      <c r="Y33" s="216">
        <v>126.432</v>
      </c>
      <c r="Z33" s="206"/>
      <c r="AA33" s="218"/>
      <c r="AB33" s="219"/>
      <c r="AC33" s="220"/>
      <c r="AD33" s="221"/>
      <c r="AE33" s="219"/>
      <c r="AF33" s="222"/>
      <c r="AG33" s="223"/>
      <c r="AH33" s="223"/>
      <c r="AI33" s="223"/>
      <c r="AJ33" s="206"/>
      <c r="AK33" s="224">
        <f t="shared" si="0"/>
        <v>2.1791338582677167</v>
      </c>
      <c r="AL33" s="224">
        <f t="shared" si="1"/>
        <v>4.7598425196850389</v>
      </c>
      <c r="AM33" s="224">
        <f t="shared" si="2"/>
        <v>2.1842818428184283</v>
      </c>
      <c r="AN33" s="225"/>
      <c r="AO33" s="225"/>
      <c r="AP33" s="224">
        <f t="shared" si="3"/>
        <v>0.85327996570784781</v>
      </c>
      <c r="AQ33" s="226">
        <f t="shared" si="4"/>
        <v>162.79527559055117</v>
      </c>
      <c r="AR33" s="227">
        <f t="shared" si="5"/>
        <v>7.1009842519685042</v>
      </c>
      <c r="AS33" s="226">
        <f t="shared" si="6"/>
        <v>24.888188976377954</v>
      </c>
      <c r="AT33" s="228"/>
      <c r="AU33" s="207"/>
      <c r="AV33" s="229"/>
      <c r="AW33" s="229"/>
      <c r="AX33" s="229"/>
      <c r="AY33" s="229"/>
      <c r="AZ33" s="229"/>
      <c r="BA33" s="207"/>
      <c r="BB33" s="207"/>
      <c r="BC33" s="207"/>
    </row>
    <row r="34" spans="1:55" s="230" customFormat="1">
      <c r="A34" s="205">
        <v>1388</v>
      </c>
      <c r="B34" s="206">
        <v>121.5</v>
      </c>
      <c r="C34" s="206">
        <v>122</v>
      </c>
      <c r="D34" s="206">
        <f>(B34+C34)/2</f>
        <v>121.75</v>
      </c>
      <c r="E34" s="206"/>
      <c r="F34" s="206"/>
      <c r="G34" s="207">
        <v>0.46893635753370022</v>
      </c>
      <c r="H34" s="208">
        <v>0.05</v>
      </c>
      <c r="I34" s="209">
        <v>-0.73</v>
      </c>
      <c r="J34" s="210">
        <v>0.02</v>
      </c>
      <c r="K34" s="231">
        <v>125.59273995633413</v>
      </c>
      <c r="L34" s="231">
        <v>8</v>
      </c>
      <c r="M34" s="206"/>
      <c r="N34" s="211">
        <v>15.23</v>
      </c>
      <c r="O34" s="211">
        <v>32.990400000000001</v>
      </c>
      <c r="P34" s="211">
        <v>4.6064567928243374</v>
      </c>
      <c r="Q34" s="212">
        <v>11.71</v>
      </c>
      <c r="R34" s="213">
        <v>910.96249999999998</v>
      </c>
      <c r="S34" s="211">
        <v>4.8002457418603637</v>
      </c>
      <c r="T34" s="214">
        <v>3.76</v>
      </c>
      <c r="U34" s="215">
        <v>1.46</v>
      </c>
      <c r="V34" s="216">
        <v>960.99790000000007</v>
      </c>
      <c r="W34" s="217">
        <v>645</v>
      </c>
      <c r="X34" s="216">
        <v>44.773000000000003</v>
      </c>
      <c r="Y34" s="216">
        <v>154.24799999999999</v>
      </c>
      <c r="Z34" s="206"/>
      <c r="AA34" s="218">
        <f>AX34*N34</f>
        <v>14.351927666374971</v>
      </c>
      <c r="AB34" s="219">
        <f>(G34-(AV34*$AV$17)-($AW$17*AW34))/AX34</f>
        <v>0.51863276476544717</v>
      </c>
      <c r="AC34" s="220">
        <f>$H34*(AB34-$AV$17)/($G34-$AV$17)*(1/AX34)</f>
        <v>5.6488286019997072E-2</v>
      </c>
      <c r="AD34" s="221">
        <f>O34*AZ34</f>
        <v>32.442231641653905</v>
      </c>
      <c r="AE34" s="219">
        <f>(I34-(AY34*$AX$17))/AZ34</f>
        <v>-0.74233462931936112</v>
      </c>
      <c r="AF34" s="222">
        <f>$J34*(AE34-$AX$17)/($I34-$AX$17)*(1/AZ34)</f>
        <v>2.0681580104586723E-2</v>
      </c>
      <c r="AG34" s="223">
        <f>(N34/(P34*10000)*1000000)/$AX$16</f>
        <v>27.783435085438221</v>
      </c>
      <c r="AH34" s="223">
        <f>(O34/(P34*10000)*1000000)/$AV$16</f>
        <v>66.312717215215017</v>
      </c>
      <c r="AI34" s="223">
        <f>AD34/AA34</f>
        <v>2.260479037785466</v>
      </c>
      <c r="AJ34" s="206"/>
      <c r="AK34" s="224">
        <f t="shared" si="0"/>
        <v>3.3062287751671486</v>
      </c>
      <c r="AL34" s="224">
        <f t="shared" si="1"/>
        <v>7.1617734592432241</v>
      </c>
      <c r="AM34" s="224">
        <f t="shared" si="2"/>
        <v>2.1661457649376232</v>
      </c>
      <c r="AN34" s="225">
        <f>O34/T34</f>
        <v>8.7740425531914905</v>
      </c>
      <c r="AO34" s="225">
        <f>N34/T34</f>
        <v>4.0505319148936172</v>
      </c>
      <c r="AP34" s="224">
        <f t="shared" si="3"/>
        <v>1.0420689822463762</v>
      </c>
      <c r="AQ34" s="226">
        <f t="shared" si="4"/>
        <v>208.61975770552868</v>
      </c>
      <c r="AR34" s="227">
        <f t="shared" si="5"/>
        <v>9.7196179219014276</v>
      </c>
      <c r="AS34" s="226">
        <f t="shared" si="6"/>
        <v>33.485172430202383</v>
      </c>
      <c r="AT34" s="228"/>
      <c r="AU34" s="207"/>
      <c r="AV34" s="229">
        <f>(AV$16*(P34/100))/N34</f>
        <v>3.2665616127710337E-2</v>
      </c>
      <c r="AW34" s="229">
        <f>(AW$16*(Q34/100))/N34</f>
        <v>2.4988509520682864E-2</v>
      </c>
      <c r="AX34" s="229">
        <f>1-(AV34+AW34)</f>
        <v>0.94234587435160677</v>
      </c>
      <c r="AY34" s="229">
        <f>(AX$16*(P34/100))/O34</f>
        <v>1.6615996118449491E-2</v>
      </c>
      <c r="AZ34" s="229">
        <f>1-(AY34)</f>
        <v>0.98338400388155056</v>
      </c>
      <c r="BA34" s="207"/>
      <c r="BB34" s="207"/>
      <c r="BC34" s="207"/>
    </row>
    <row r="35" spans="1:55" s="230" customFormat="1">
      <c r="A35" s="205">
        <v>1389</v>
      </c>
      <c r="B35" s="206">
        <v>122.5</v>
      </c>
      <c r="C35" s="206">
        <v>123</v>
      </c>
      <c r="D35" s="206">
        <v>122.75</v>
      </c>
      <c r="E35" s="206"/>
      <c r="F35" s="206"/>
      <c r="G35" s="207"/>
      <c r="H35" s="208"/>
      <c r="I35" s="209"/>
      <c r="J35" s="210"/>
      <c r="K35" s="231"/>
      <c r="L35" s="231"/>
      <c r="M35" s="206"/>
      <c r="N35" s="211">
        <v>15.23</v>
      </c>
      <c r="O35" s="211">
        <v>28.11</v>
      </c>
      <c r="P35" s="211">
        <v>4.92</v>
      </c>
      <c r="Q35" s="212">
        <v>11.28</v>
      </c>
      <c r="R35" s="213">
        <v>842.20489999999995</v>
      </c>
      <c r="S35" s="211">
        <v>4.9424884341581095</v>
      </c>
      <c r="T35" s="214"/>
      <c r="U35" s="215">
        <v>1.76</v>
      </c>
      <c r="V35" s="216">
        <v>830</v>
      </c>
      <c r="W35" s="217">
        <v>555</v>
      </c>
      <c r="X35" s="216">
        <v>46.134</v>
      </c>
      <c r="Y35" s="216">
        <v>132.875</v>
      </c>
      <c r="Z35" s="206"/>
      <c r="AA35" s="218"/>
      <c r="AB35" s="219"/>
      <c r="AC35" s="220"/>
      <c r="AD35" s="221"/>
      <c r="AE35" s="219"/>
      <c r="AF35" s="222"/>
      <c r="AG35" s="223"/>
      <c r="AH35" s="223"/>
      <c r="AI35" s="223"/>
      <c r="AJ35" s="206"/>
      <c r="AK35" s="224">
        <f t="shared" si="0"/>
        <v>3.095528455284553</v>
      </c>
      <c r="AL35" s="224">
        <f t="shared" si="1"/>
        <v>5.713414634146341</v>
      </c>
      <c r="AM35" s="224">
        <f t="shared" si="2"/>
        <v>1.8456992777412999</v>
      </c>
      <c r="AN35" s="225"/>
      <c r="AO35" s="225"/>
      <c r="AP35" s="224">
        <f t="shared" si="3"/>
        <v>1.0045708199508352</v>
      </c>
      <c r="AQ35" s="226">
        <f t="shared" si="4"/>
        <v>168.69918699186991</v>
      </c>
      <c r="AR35" s="227">
        <f t="shared" si="5"/>
        <v>9.376829268292683</v>
      </c>
      <c r="AS35" s="226">
        <f t="shared" si="6"/>
        <v>27.007113821138212</v>
      </c>
      <c r="AT35" s="228"/>
      <c r="AU35" s="207"/>
      <c r="AV35" s="229"/>
      <c r="AW35" s="229"/>
      <c r="AX35" s="229"/>
      <c r="AY35" s="229"/>
      <c r="AZ35" s="229"/>
      <c r="BA35" s="207"/>
      <c r="BB35" s="207"/>
      <c r="BC35" s="207"/>
    </row>
    <row r="36" spans="1:55" s="230" customFormat="1">
      <c r="A36" s="205">
        <v>1390</v>
      </c>
      <c r="B36" s="206">
        <v>123.5</v>
      </c>
      <c r="C36" s="206">
        <v>124</v>
      </c>
      <c r="D36" s="206">
        <f>(B36+C36)/2</f>
        <v>123.75</v>
      </c>
      <c r="E36" s="206"/>
      <c r="F36" s="206"/>
      <c r="G36" s="207">
        <v>0.36183898900915556</v>
      </c>
      <c r="H36" s="208">
        <v>0.05</v>
      </c>
      <c r="I36" s="209">
        <v>-0.66</v>
      </c>
      <c r="J36" s="210">
        <v>0.02</v>
      </c>
      <c r="K36" s="231">
        <v>116.29627566499315</v>
      </c>
      <c r="L36" s="231">
        <v>8</v>
      </c>
      <c r="M36" s="206"/>
      <c r="N36" s="211">
        <v>12.829000000000001</v>
      </c>
      <c r="O36" s="211">
        <v>20.461500000000001</v>
      </c>
      <c r="P36" s="211">
        <v>5.5024541307948969</v>
      </c>
      <c r="Q36" s="212">
        <v>9.93</v>
      </c>
      <c r="R36" s="213">
        <v>794.87660000000005</v>
      </c>
      <c r="S36" s="211">
        <v>4.6629165328735134</v>
      </c>
      <c r="T36" s="214">
        <f>AVERAGE(3.57,3.58)</f>
        <v>3.5750000000000002</v>
      </c>
      <c r="U36" s="215">
        <v>1.22</v>
      </c>
      <c r="V36" s="216">
        <v>439.06239999999997</v>
      </c>
      <c r="W36" s="217">
        <v>524</v>
      </c>
      <c r="X36" s="216">
        <v>43.984000000000002</v>
      </c>
      <c r="Y36" s="216">
        <v>134.81399999999999</v>
      </c>
      <c r="Z36" s="206"/>
      <c r="AA36" s="218">
        <f>AX36*N36</f>
        <v>11.912009953874152</v>
      </c>
      <c r="AB36" s="219">
        <f>(G36-(AV36*$AV$17)-($AW$17*AW36))/AX36</f>
        <v>0.41549679046620625</v>
      </c>
      <c r="AC36" s="220">
        <f>$H36*(AB36-$AV$17)/($G36-$AV$17)*(1/AX36)</f>
        <v>5.8214758998399604E-2</v>
      </c>
      <c r="AD36" s="221">
        <f>O36*AZ36</f>
        <v>19.806707958435407</v>
      </c>
      <c r="AE36" s="219">
        <f>(I36-(AY36*$AX$17))/AZ36</f>
        <v>-0.68181900941537232</v>
      </c>
      <c r="AF36" s="222">
        <f>$J36*(AE36-$AX$17)/($I36-$AX$17)*(1/AZ36)</f>
        <v>2.134422229569144E-2</v>
      </c>
      <c r="AG36" s="223">
        <f>(N36/(P36*10000)*1000000)/$AX$16</f>
        <v>19.592480032814311</v>
      </c>
      <c r="AH36" s="223">
        <f>(O36/(P36*10000)*1000000)/$AV$16</f>
        <v>34.431606121533221</v>
      </c>
      <c r="AI36" s="223">
        <f>AD36/AA36</f>
        <v>1.6627511255557383</v>
      </c>
      <c r="AJ36" s="206"/>
      <c r="AK36" s="224">
        <f t="shared" si="0"/>
        <v>2.3315051239049027</v>
      </c>
      <c r="AL36" s="224">
        <f t="shared" si="1"/>
        <v>3.7186134611255879</v>
      </c>
      <c r="AM36" s="224">
        <f t="shared" si="2"/>
        <v>1.594941148959389</v>
      </c>
      <c r="AN36" s="225">
        <f>O36/T36</f>
        <v>5.7234965034965031</v>
      </c>
      <c r="AO36" s="225">
        <f>N36/T36</f>
        <v>3.5885314685314684</v>
      </c>
      <c r="AP36" s="224">
        <f t="shared" si="3"/>
        <v>0.84742488025064155</v>
      </c>
      <c r="AQ36" s="226">
        <f t="shared" si="4"/>
        <v>79.793922777611968</v>
      </c>
      <c r="AR36" s="227">
        <f t="shared" si="5"/>
        <v>7.9935241538571402</v>
      </c>
      <c r="AS36" s="226">
        <f t="shared" si="6"/>
        <v>24.500704012324853</v>
      </c>
      <c r="AT36" s="228"/>
      <c r="AU36" s="207"/>
      <c r="AV36" s="229">
        <f>(AV$16*(P36/100))/N36</f>
        <v>4.6322008428236715E-2</v>
      </c>
      <c r="AW36" s="229">
        <f>(AW$16*(Q36/100))/N36</f>
        <v>2.5155896796320833E-2</v>
      </c>
      <c r="AX36" s="229">
        <f>1-(AV36+AW36)</f>
        <v>0.92852209477544245</v>
      </c>
      <c r="AY36" s="229">
        <f>(AX$16*(P36/100))/O36</f>
        <v>3.2001174965891679E-2</v>
      </c>
      <c r="AZ36" s="229">
        <f>1-(AY36)</f>
        <v>0.96799882503410828</v>
      </c>
      <c r="BA36" s="207"/>
      <c r="BB36" s="207"/>
      <c r="BC36" s="207"/>
    </row>
    <row r="37" spans="1:55" s="230" customFormat="1">
      <c r="A37" s="205">
        <v>1391</v>
      </c>
      <c r="B37" s="206">
        <v>124.5</v>
      </c>
      <c r="C37" s="206">
        <v>125</v>
      </c>
      <c r="D37" s="206">
        <v>124.75</v>
      </c>
      <c r="E37" s="206"/>
      <c r="F37" s="206"/>
      <c r="G37" s="207"/>
      <c r="H37" s="208"/>
      <c r="I37" s="209"/>
      <c r="J37" s="210"/>
      <c r="K37" s="231"/>
      <c r="L37" s="231"/>
      <c r="M37" s="206"/>
      <c r="N37" s="211">
        <v>14.57</v>
      </c>
      <c r="O37" s="211">
        <v>35.36</v>
      </c>
      <c r="P37" s="211">
        <v>4.8</v>
      </c>
      <c r="Q37" s="212">
        <v>10.99</v>
      </c>
      <c r="R37" s="213">
        <v>868.26959999999997</v>
      </c>
      <c r="S37" s="211">
        <v>5.6146565591314976</v>
      </c>
      <c r="T37" s="214"/>
      <c r="U37" s="215">
        <v>2.16</v>
      </c>
      <c r="V37" s="216">
        <v>809</v>
      </c>
      <c r="W37" s="217">
        <v>543</v>
      </c>
      <c r="X37" s="216">
        <v>74.316999999999993</v>
      </c>
      <c r="Y37" s="216">
        <v>150.88200000000001</v>
      </c>
      <c r="Z37" s="206"/>
      <c r="AA37" s="218"/>
      <c r="AB37" s="219"/>
      <c r="AC37" s="220"/>
      <c r="AD37" s="221"/>
      <c r="AE37" s="219"/>
      <c r="AF37" s="222"/>
      <c r="AG37" s="223"/>
      <c r="AH37" s="223"/>
      <c r="AI37" s="223"/>
      <c r="AJ37" s="206"/>
      <c r="AK37" s="224">
        <f t="shared" si="0"/>
        <v>3.0354166666666669</v>
      </c>
      <c r="AL37" s="224">
        <f t="shared" si="1"/>
        <v>7.3666666666666671</v>
      </c>
      <c r="AM37" s="224">
        <f t="shared" si="2"/>
        <v>2.4269045984900481</v>
      </c>
      <c r="AN37" s="225"/>
      <c r="AO37" s="225"/>
      <c r="AP37" s="224">
        <f t="shared" si="3"/>
        <v>1.1697201164857287</v>
      </c>
      <c r="AQ37" s="226">
        <f t="shared" si="4"/>
        <v>168.54166666666669</v>
      </c>
      <c r="AR37" s="227">
        <f t="shared" si="5"/>
        <v>15.482708333333333</v>
      </c>
      <c r="AS37" s="226">
        <f t="shared" si="6"/>
        <v>31.433750000000003</v>
      </c>
      <c r="AT37" s="228"/>
      <c r="AU37" s="207"/>
      <c r="AV37" s="229"/>
      <c r="AW37" s="229"/>
      <c r="AX37" s="229"/>
      <c r="AY37" s="229"/>
      <c r="AZ37" s="229"/>
      <c r="BA37" s="207"/>
      <c r="BB37" s="207"/>
      <c r="BC37" s="207"/>
    </row>
    <row r="38" spans="1:55" s="230" customFormat="1">
      <c r="A38" s="205">
        <v>1392</v>
      </c>
      <c r="B38" s="206">
        <v>125.5</v>
      </c>
      <c r="C38" s="206">
        <v>126</v>
      </c>
      <c r="D38" s="206">
        <v>125.75</v>
      </c>
      <c r="E38" s="206"/>
      <c r="F38" s="206"/>
      <c r="G38" s="207"/>
      <c r="H38" s="208"/>
      <c r="I38" s="209"/>
      <c r="J38" s="210"/>
      <c r="K38" s="231"/>
      <c r="L38" s="231"/>
      <c r="M38" s="206"/>
      <c r="N38" s="211">
        <v>15.44</v>
      </c>
      <c r="O38" s="211">
        <v>40.86</v>
      </c>
      <c r="P38" s="211">
        <v>4.74</v>
      </c>
      <c r="Q38" s="212">
        <v>11.77</v>
      </c>
      <c r="R38" s="213">
        <v>887.93290000000002</v>
      </c>
      <c r="S38" s="211">
        <v>6.184564927770821</v>
      </c>
      <c r="T38" s="214"/>
      <c r="U38" s="215">
        <v>2.27</v>
      </c>
      <c r="V38" s="216">
        <v>849</v>
      </c>
      <c r="W38" s="217">
        <v>677</v>
      </c>
      <c r="X38" s="216">
        <v>100</v>
      </c>
      <c r="Y38" s="216">
        <v>152.38399999999999</v>
      </c>
      <c r="Z38" s="206"/>
      <c r="AA38" s="218"/>
      <c r="AB38" s="219"/>
      <c r="AC38" s="220"/>
      <c r="AD38" s="221"/>
      <c r="AE38" s="219"/>
      <c r="AF38" s="222"/>
      <c r="AG38" s="223"/>
      <c r="AH38" s="223"/>
      <c r="AI38" s="223"/>
      <c r="AJ38" s="206"/>
      <c r="AK38" s="224">
        <f t="shared" si="0"/>
        <v>3.2573839662447255</v>
      </c>
      <c r="AL38" s="224">
        <f t="shared" si="1"/>
        <v>8.6202531645569618</v>
      </c>
      <c r="AM38" s="224">
        <f t="shared" si="2"/>
        <v>2.6463730569948187</v>
      </c>
      <c r="AN38" s="225"/>
      <c r="AO38" s="225"/>
      <c r="AP38" s="224">
        <f t="shared" si="3"/>
        <v>1.3047605332849832</v>
      </c>
      <c r="AQ38" s="226">
        <f t="shared" si="4"/>
        <v>179.1139240506329</v>
      </c>
      <c r="AR38" s="227">
        <f t="shared" si="5"/>
        <v>21.09704641350211</v>
      </c>
      <c r="AS38" s="226">
        <f t="shared" si="6"/>
        <v>32.148523206751051</v>
      </c>
      <c r="AT38" s="228"/>
      <c r="AU38" s="207"/>
      <c r="AV38" s="229"/>
      <c r="AW38" s="229"/>
      <c r="AX38" s="229"/>
      <c r="AY38" s="229"/>
      <c r="AZ38" s="229"/>
      <c r="BA38" s="207"/>
      <c r="BB38" s="207"/>
      <c r="BC38" s="207"/>
    </row>
    <row r="39" spans="1:55" s="230" customFormat="1">
      <c r="A39" s="205">
        <v>1393</v>
      </c>
      <c r="B39" s="206">
        <v>126.5</v>
      </c>
      <c r="C39" s="206">
        <v>127</v>
      </c>
      <c r="D39" s="206">
        <f>(B39+C39)/2</f>
        <v>126.75</v>
      </c>
      <c r="E39" s="206"/>
      <c r="F39" s="206"/>
      <c r="G39" s="207">
        <v>0.36222155682902324</v>
      </c>
      <c r="H39" s="208">
        <v>0.05</v>
      </c>
      <c r="I39" s="209">
        <v>-0.42</v>
      </c>
      <c r="J39" s="210">
        <v>0.03</v>
      </c>
      <c r="K39" s="231">
        <v>119.23455507853998</v>
      </c>
      <c r="L39" s="231">
        <v>8</v>
      </c>
      <c r="M39" s="206"/>
      <c r="N39" s="211">
        <v>14.255000000000001</v>
      </c>
      <c r="O39" s="211">
        <v>29.1357</v>
      </c>
      <c r="P39" s="211">
        <v>4.2847226810441601</v>
      </c>
      <c r="Q39" s="212">
        <v>10.99</v>
      </c>
      <c r="R39" s="213">
        <v>737.78910000000008</v>
      </c>
      <c r="S39" s="211">
        <v>5.1103651881327492</v>
      </c>
      <c r="T39" s="214">
        <f>AVERAGE(3.2)</f>
        <v>3.2</v>
      </c>
      <c r="U39" s="215">
        <v>1.64</v>
      </c>
      <c r="V39" s="216">
        <v>678.14299999999992</v>
      </c>
      <c r="W39" s="217">
        <v>622</v>
      </c>
      <c r="X39" s="216">
        <v>124.569</v>
      </c>
      <c r="Y39" s="216">
        <v>188.38499999999999</v>
      </c>
      <c r="Z39" s="206"/>
      <c r="AA39" s="218">
        <f>AX39*N39</f>
        <v>13.43507495044723</v>
      </c>
      <c r="AB39" s="219">
        <f>(G39-(AV39*$AV$17)-($AW$17*AW39))/AX39</f>
        <v>0.40529459847057248</v>
      </c>
      <c r="AC39" s="220">
        <f>$H39*(AB39-$AV$17)/($G39-$AV$17)*(1/AX39)</f>
        <v>5.6502072266380196E-2</v>
      </c>
      <c r="AD39" s="221">
        <f>O39*AZ39</f>
        <v>28.625818000955746</v>
      </c>
      <c r="AE39" s="219">
        <f>(I39-(AY39*$AX$17))/AZ39</f>
        <v>-0.42748102428344359</v>
      </c>
      <c r="AF39" s="222">
        <f>$J39*(AE39-$AX$17)/($I39-$AX$17)*(1/AZ39)</f>
        <v>3.1078235735105798E-2</v>
      </c>
      <c r="AG39" s="223">
        <f>(N39/(P39*10000)*1000000)/$AX$16</f>
        <v>27.957449030795736</v>
      </c>
      <c r="AH39" s="223">
        <f>(O39/(P39*10000)*1000000)/$AV$16</f>
        <v>62.962067812112757</v>
      </c>
      <c r="AI39" s="223">
        <f>AD39/AA39</f>
        <v>2.1306779535310922</v>
      </c>
      <c r="AJ39" s="206"/>
      <c r="AK39" s="224">
        <f t="shared" si="0"/>
        <v>3.3269364346646926</v>
      </c>
      <c r="AL39" s="224">
        <f t="shared" si="1"/>
        <v>6.7999033237081781</v>
      </c>
      <c r="AM39" s="224">
        <f t="shared" si="2"/>
        <v>2.0438933707471061</v>
      </c>
      <c r="AN39" s="225">
        <f>O39/T39</f>
        <v>9.1049062499999991</v>
      </c>
      <c r="AO39" s="225">
        <f>N39/T39</f>
        <v>4.4546875000000004</v>
      </c>
      <c r="AP39" s="224">
        <f t="shared" si="3"/>
        <v>1.1926945029001002</v>
      </c>
      <c r="AQ39" s="226">
        <f t="shared" si="4"/>
        <v>158.26998629342813</v>
      </c>
      <c r="AR39" s="227">
        <f t="shared" si="5"/>
        <v>29.072826708505513</v>
      </c>
      <c r="AS39" s="226">
        <f t="shared" si="6"/>
        <v>43.96667276354318</v>
      </c>
      <c r="AT39" s="228"/>
      <c r="AU39" s="207"/>
      <c r="AV39" s="229">
        <f>(AV$16*(P39/100))/N39</f>
        <v>3.2462297408121309E-2</v>
      </c>
      <c r="AW39" s="229">
        <f>(AW$16*(Q39/100))/N39</f>
        <v>2.5056120659417747E-2</v>
      </c>
      <c r="AX39" s="229">
        <f>1-(AV39+AW39)</f>
        <v>0.9424815819324609</v>
      </c>
      <c r="AY39" s="229">
        <f>(AX$16*(P39/100))/O39</f>
        <v>1.7500248802817676E-2</v>
      </c>
      <c r="AZ39" s="229">
        <f>1-(AY39)</f>
        <v>0.98249975119718236</v>
      </c>
      <c r="BA39" s="207"/>
      <c r="BB39" s="207"/>
      <c r="BC39" s="207"/>
    </row>
    <row r="40" spans="1:55" s="230" customFormat="1">
      <c r="A40" s="205">
        <v>1394</v>
      </c>
      <c r="B40" s="206">
        <v>127.5</v>
      </c>
      <c r="C40" s="206">
        <v>128</v>
      </c>
      <c r="D40" s="206">
        <v>127.75</v>
      </c>
      <c r="E40" s="206"/>
      <c r="F40" s="206"/>
      <c r="G40" s="207"/>
      <c r="H40" s="208"/>
      <c r="I40" s="209"/>
      <c r="J40" s="210"/>
      <c r="K40" s="231"/>
      <c r="L40" s="231"/>
      <c r="M40" s="206"/>
      <c r="N40" s="211">
        <v>9.9</v>
      </c>
      <c r="O40" s="211">
        <v>10.5921</v>
      </c>
      <c r="P40" s="211">
        <v>5.1708627226951744</v>
      </c>
      <c r="Q40" s="212">
        <v>12.06903841357143</v>
      </c>
      <c r="R40" s="213">
        <v>715.72609999999997</v>
      </c>
      <c r="S40" s="211">
        <v>4.4915276913418909</v>
      </c>
      <c r="T40" s="214"/>
      <c r="U40" s="215">
        <v>1.217749108</v>
      </c>
      <c r="V40" s="216">
        <v>670.47140000000002</v>
      </c>
      <c r="W40" s="216">
        <v>837.98109999999997</v>
      </c>
      <c r="X40" s="216">
        <v>60</v>
      </c>
      <c r="Y40" s="216">
        <v>307.85899999999998</v>
      </c>
      <c r="Z40" s="206"/>
      <c r="AA40" s="218"/>
      <c r="AB40" s="219"/>
      <c r="AC40" s="220"/>
      <c r="AD40" s="221"/>
      <c r="AE40" s="219"/>
      <c r="AF40" s="222"/>
      <c r="AG40" s="223"/>
      <c r="AH40" s="223"/>
      <c r="AI40" s="223"/>
      <c r="AJ40" s="206"/>
      <c r="AK40" s="224">
        <f t="shared" si="0"/>
        <v>1.9145741302603929</v>
      </c>
      <c r="AL40" s="224">
        <f t="shared" si="1"/>
        <v>2.0484202671849601</v>
      </c>
      <c r="AM40" s="224">
        <f t="shared" si="2"/>
        <v>1.0699090909090909</v>
      </c>
      <c r="AN40" s="225"/>
      <c r="AO40" s="225"/>
      <c r="AP40" s="224">
        <f t="shared" si="3"/>
        <v>0.86862249729205765</v>
      </c>
      <c r="AQ40" s="226">
        <f t="shared" si="4"/>
        <v>129.66335328479474</v>
      </c>
      <c r="AR40" s="227">
        <f t="shared" si="5"/>
        <v>11.603479577335714</v>
      </c>
      <c r="AS40" s="226">
        <f t="shared" si="6"/>
        <v>59.537260319983254</v>
      </c>
      <c r="AT40" s="228"/>
      <c r="AU40" s="207"/>
      <c r="AV40" s="229"/>
      <c r="AW40" s="229"/>
      <c r="AX40" s="229"/>
      <c r="AY40" s="229"/>
      <c r="AZ40" s="229"/>
      <c r="BA40" s="207"/>
      <c r="BB40" s="207"/>
      <c r="BC40" s="207"/>
    </row>
    <row r="41" spans="1:55" s="230" customFormat="1">
      <c r="A41" s="205">
        <v>1396</v>
      </c>
      <c r="B41" s="206">
        <v>129.5</v>
      </c>
      <c r="C41" s="206">
        <v>130</v>
      </c>
      <c r="D41" s="206">
        <f>(B41+C41)/2</f>
        <v>129.75</v>
      </c>
      <c r="E41" s="206"/>
      <c r="F41" s="206"/>
      <c r="G41" s="207">
        <v>3.3350282872601777E-2</v>
      </c>
      <c r="H41" s="208">
        <v>0.05</v>
      </c>
      <c r="I41" s="209">
        <v>0.52</v>
      </c>
      <c r="J41" s="210">
        <v>0.03</v>
      </c>
      <c r="K41" s="231">
        <v>104.05752487075506</v>
      </c>
      <c r="L41" s="231">
        <v>8</v>
      </c>
      <c r="M41" s="206"/>
      <c r="N41" s="211">
        <v>6.343</v>
      </c>
      <c r="O41" s="211">
        <v>6.3129999999999997</v>
      </c>
      <c r="P41" s="211">
        <v>5.860624830539745</v>
      </c>
      <c r="Q41" s="212">
        <v>10.29</v>
      </c>
      <c r="R41" s="213">
        <v>1009.0522999999999</v>
      </c>
      <c r="S41" s="211">
        <v>4.4380648878569193</v>
      </c>
      <c r="T41" s="214">
        <v>1.89</v>
      </c>
      <c r="U41" s="215">
        <v>0.86</v>
      </c>
      <c r="V41" s="216">
        <v>299.97539999999998</v>
      </c>
      <c r="W41" s="217">
        <v>625</v>
      </c>
      <c r="X41" s="216">
        <v>27.510999999999999</v>
      </c>
      <c r="Y41" s="216">
        <v>127.01300000000001</v>
      </c>
      <c r="Z41" s="206"/>
      <c r="AA41" s="218">
        <f>AX41*N41</f>
        <v>5.3756275183017079</v>
      </c>
      <c r="AB41" s="219">
        <f>(G41-(AV41*$AV$17)-($AW$17*AW41))/AX41</f>
        <v>9.9559555967799293E-2</v>
      </c>
      <c r="AC41" s="220">
        <f>$H41*(AB41-$AV$17)/($G41-$AV$17)*(1/AX41)</f>
        <v>7.0715764542076676E-2</v>
      </c>
      <c r="AD41" s="221">
        <f>O41*AZ41</f>
        <v>5.61558564516577</v>
      </c>
      <c r="AE41" s="219">
        <f>(I41-(AY41*$AX$17))/AZ41</f>
        <v>0.58458016802325774</v>
      </c>
      <c r="AF41" s="222">
        <f>$J41*(AE41-$AX$17)/($I41-$AX$17)*(1/AZ41)</f>
        <v>3.7914272135292186E-2</v>
      </c>
      <c r="AG41" s="223">
        <f>(N41/(P41*10000)*1000000)/$AX$16</f>
        <v>9.0950235767769438</v>
      </c>
      <c r="AH41" s="223">
        <f>(O41/(P41*10000)*1000000)/$AV$16</f>
        <v>9.9739712733531682</v>
      </c>
      <c r="AI41" s="223">
        <f>AD41/AA41</f>
        <v>1.0446381610420565</v>
      </c>
      <c r="AJ41" s="206"/>
      <c r="AK41" s="224">
        <f t="shared" si="0"/>
        <v>1.0823078056364563</v>
      </c>
      <c r="AL41" s="224">
        <f t="shared" si="1"/>
        <v>1.0771888975221422</v>
      </c>
      <c r="AM41" s="224">
        <f t="shared" si="2"/>
        <v>0.99527037679331543</v>
      </c>
      <c r="AN41" s="225">
        <f>O41/T41</f>
        <v>3.3402116402116402</v>
      </c>
      <c r="AO41" s="225">
        <f>N41/T41</f>
        <v>3.3560846560846564</v>
      </c>
      <c r="AP41" s="224">
        <f t="shared" si="3"/>
        <v>0.75726821221009422</v>
      </c>
      <c r="AQ41" s="226">
        <f t="shared" si="4"/>
        <v>51.184883638486241</v>
      </c>
      <c r="AR41" s="227">
        <f t="shared" si="5"/>
        <v>4.694209371096413</v>
      </c>
      <c r="AS41" s="226">
        <f t="shared" si="6"/>
        <v>21.672262544112129</v>
      </c>
      <c r="AT41" s="228"/>
      <c r="AU41" s="207"/>
      <c r="AV41" s="229">
        <f>(AV$16*(P41/100))/N41</f>
        <v>9.9786769935092626E-2</v>
      </c>
      <c r="AW41" s="229">
        <f>(AW$16*(Q41/100))/N41</f>
        <v>5.2723474696515837E-2</v>
      </c>
      <c r="AX41" s="229">
        <f>1-(AV41+AW41)</f>
        <v>0.84748975536839155</v>
      </c>
      <c r="AY41" s="229">
        <f>(AX$16*(P41/100))/O41</f>
        <v>0.11047273163856006</v>
      </c>
      <c r="AZ41" s="229">
        <f>1-(AY41)</f>
        <v>0.88952726836143992</v>
      </c>
      <c r="BA41" s="207"/>
      <c r="BB41" s="207"/>
      <c r="BC41" s="207"/>
    </row>
    <row r="42" spans="1:55" s="116" customFormat="1">
      <c r="A42" s="148">
        <v>1398</v>
      </c>
      <c r="B42" s="113">
        <v>131.5</v>
      </c>
      <c r="C42" s="113">
        <v>132</v>
      </c>
      <c r="D42" s="113">
        <f>(B42+C42)/2</f>
        <v>131.75</v>
      </c>
      <c r="E42" s="113"/>
      <c r="F42" s="113"/>
      <c r="G42" s="117">
        <v>-2.0298445937594334E-2</v>
      </c>
      <c r="H42" s="162">
        <v>0.05</v>
      </c>
      <c r="I42" s="176">
        <v>0.19</v>
      </c>
      <c r="J42" s="112">
        <v>0.02</v>
      </c>
      <c r="K42" s="156">
        <v>109.26113450055539</v>
      </c>
      <c r="L42" s="156">
        <v>8</v>
      </c>
      <c r="M42" s="113"/>
      <c r="N42" s="178">
        <v>5.3449999999999998</v>
      </c>
      <c r="O42" s="178">
        <v>4.57</v>
      </c>
      <c r="P42" s="178">
        <v>5.3976838803140339</v>
      </c>
      <c r="Q42" s="179">
        <v>9.8800000000000008</v>
      </c>
      <c r="R42" s="180">
        <v>912.32789999999989</v>
      </c>
      <c r="S42" s="178">
        <v>4.1256912719358168</v>
      </c>
      <c r="T42" s="84">
        <v>1.22</v>
      </c>
      <c r="U42" s="185">
        <v>0.75</v>
      </c>
      <c r="V42" s="184">
        <v>224.76499999999999</v>
      </c>
      <c r="W42" s="183">
        <v>581</v>
      </c>
      <c r="X42" s="184">
        <v>22.81</v>
      </c>
      <c r="Y42" s="184">
        <v>119.91200000000001</v>
      </c>
      <c r="Z42" s="113"/>
      <c r="AA42" s="149">
        <f>AX42*N42</f>
        <v>4.4409501409260841</v>
      </c>
      <c r="AB42" s="150">
        <f>(G42-(AV42*$AV$17)-($AW$17*AW42))/AX42</f>
        <v>4.3871189273272188E-2</v>
      </c>
      <c r="AC42" s="151">
        <f>$H42*(AB42-$AV$17)/($G42-$AV$17)*(1/AX42)</f>
        <v>7.3984838105492501E-2</v>
      </c>
      <c r="AD42" s="152">
        <f>O42*AZ42</f>
        <v>3.9276756182426298</v>
      </c>
      <c r="AE42" s="150">
        <f>(I42-(AY42*$AX$17))/AZ42</f>
        <v>0.22107222805444043</v>
      </c>
      <c r="AF42" s="153">
        <f>$J42*(AE42-$AX$17)/($I42-$AX$17)*(1/AZ42)</f>
        <v>2.7076415521858466E-2</v>
      </c>
      <c r="AG42" s="87">
        <f>(N42/(P42*10000)*1000000)/$AX$16</f>
        <v>8.3213406680536171</v>
      </c>
      <c r="AH42" s="87">
        <f>(O42/(P42*10000)*1000000)/$AV$16</f>
        <v>7.8394392396971879</v>
      </c>
      <c r="AI42" s="87">
        <f>AD42/AA42</f>
        <v>0.88442236314402312</v>
      </c>
      <c r="AJ42" s="113"/>
      <c r="AK42" s="174">
        <f t="shared" si="0"/>
        <v>0.99023953949838039</v>
      </c>
      <c r="AL42" s="174">
        <f t="shared" si="1"/>
        <v>0.84665943788729625</v>
      </c>
      <c r="AM42" s="174">
        <f t="shared" si="2"/>
        <v>0.85500467726847529</v>
      </c>
      <c r="AN42" s="187">
        <f>O42/T42</f>
        <v>3.7459016393442628</v>
      </c>
      <c r="AO42" s="187">
        <f>N42/P42</f>
        <v>0.99023953949838039</v>
      </c>
      <c r="AP42" s="174">
        <f t="shared" si="3"/>
        <v>0.76434473811678405</v>
      </c>
      <c r="AQ42" s="189">
        <f t="shared" si="4"/>
        <v>41.641008436923002</v>
      </c>
      <c r="AR42" s="154">
        <f t="shared" si="5"/>
        <v>4.2258866035468765</v>
      </c>
      <c r="AS42" s="189">
        <f t="shared" si="6"/>
        <v>22.215454379855903</v>
      </c>
      <c r="AT42" s="136"/>
      <c r="AU42" s="117"/>
      <c r="AV42" s="155">
        <f>(AV$16*(P42/100))/N42</f>
        <v>0.10906451993899266</v>
      </c>
      <c r="AW42" s="155">
        <f>(AW$16*(Q42/100))/N42</f>
        <v>6.0074836295603382E-2</v>
      </c>
      <c r="AX42" s="155">
        <f>1-(AV42+AW42)</f>
        <v>0.83086064376540403</v>
      </c>
      <c r="AY42" s="155">
        <f>(AX$16*(P42/100))/O42</f>
        <v>0.14055238112852736</v>
      </c>
      <c r="AZ42" s="155">
        <f>1-(AY42)</f>
        <v>0.85944761887147259</v>
      </c>
      <c r="BA42" s="117"/>
      <c r="BB42" s="117"/>
      <c r="BC42" s="117"/>
    </row>
    <row r="43" spans="1:55" s="116" customFormat="1">
      <c r="A43" s="148">
        <v>1400</v>
      </c>
      <c r="B43" s="113">
        <v>135.5</v>
      </c>
      <c r="C43" s="113">
        <v>136</v>
      </c>
      <c r="D43" s="113">
        <f>(B43+C43)/2</f>
        <v>135.75</v>
      </c>
      <c r="E43" s="113"/>
      <c r="F43" s="113"/>
      <c r="G43" s="117">
        <v>-0.39662482759089679</v>
      </c>
      <c r="H43" s="162">
        <v>0.05</v>
      </c>
      <c r="I43" s="176">
        <v>-0.22</v>
      </c>
      <c r="J43" s="112">
        <v>0.02</v>
      </c>
      <c r="K43" s="156">
        <v>100.61352454088143</v>
      </c>
      <c r="L43" s="156">
        <v>8</v>
      </c>
      <c r="M43" s="113"/>
      <c r="N43" s="178">
        <v>4.7290000000000001</v>
      </c>
      <c r="O43" s="178">
        <v>7.0350000000000001</v>
      </c>
      <c r="P43" s="178">
        <v>5.7872854063199206</v>
      </c>
      <c r="Q43" s="179">
        <v>11.4</v>
      </c>
      <c r="R43" s="180">
        <v>1099.0110999999999</v>
      </c>
      <c r="S43" s="178">
        <v>4.1322898308813398</v>
      </c>
      <c r="T43" s="84">
        <f>(1.19+0.84)/2</f>
        <v>1.0149999999999999</v>
      </c>
      <c r="U43" s="185">
        <v>0.55000000000000004</v>
      </c>
      <c r="V43" s="184">
        <v>155.9007</v>
      </c>
      <c r="W43" s="183">
        <v>608</v>
      </c>
      <c r="X43" s="184">
        <v>14.093999999999999</v>
      </c>
      <c r="Y43" s="184">
        <v>118.006</v>
      </c>
      <c r="Z43" s="113"/>
      <c r="AA43" s="149">
        <f>AX43*N43</f>
        <v>3.7334731761174487</v>
      </c>
      <c r="AB43" s="150">
        <f>(G43-(AV43*$AV$17)-($AW$17*AW43))/AX43</f>
        <v>-0.41246600413880724</v>
      </c>
      <c r="AC43" s="151">
        <f>$H43*(AB43-$AV$17)/($G43-$AV$17)*(1/AX43)</f>
        <v>7.3715500078217089E-2</v>
      </c>
      <c r="AD43" s="152">
        <f>O43*AZ43</f>
        <v>6.3463130366479295</v>
      </c>
      <c r="AE43" s="150">
        <f>(I43-(AY43*$AX$17))/AZ43</f>
        <v>-0.24387388253030182</v>
      </c>
      <c r="AF43" s="153">
        <f>$J43*(AE43-$AX$17)/($I43-$AX$17)*(1/AZ43)</f>
        <v>2.4576227512563411E-2</v>
      </c>
      <c r="AG43" s="87">
        <f>(N43/(P43*10000)*1000000)/$AX$16</f>
        <v>6.8666901678846513</v>
      </c>
      <c r="AH43" s="87">
        <f>(O43/(P43*10000)*1000000)/$AV$16</f>
        <v>11.255516933337159</v>
      </c>
      <c r="AI43" s="87">
        <f>AD43/AA43</f>
        <v>1.6998416051960634</v>
      </c>
      <c r="AJ43" s="113"/>
      <c r="AK43" s="174">
        <f t="shared" si="0"/>
        <v>0.81713612997827356</v>
      </c>
      <c r="AL43" s="174">
        <f t="shared" si="1"/>
        <v>1.2155958288004132</v>
      </c>
      <c r="AM43" s="174">
        <f t="shared" si="2"/>
        <v>1.4876295199830831</v>
      </c>
      <c r="AN43" s="187">
        <f>O43/T43</f>
        <v>6.9310344827586219</v>
      </c>
      <c r="AO43" s="187">
        <f>N43/P43</f>
        <v>0.81713612997827356</v>
      </c>
      <c r="AP43" s="174">
        <f t="shared" si="3"/>
        <v>0.71402903792661288</v>
      </c>
      <c r="AQ43" s="189">
        <f t="shared" si="4"/>
        <v>26.938484808395817</v>
      </c>
      <c r="AR43" s="154">
        <f t="shared" si="5"/>
        <v>2.4353386796180558</v>
      </c>
      <c r="AS43" s="189">
        <f t="shared" si="6"/>
        <v>20.39056167354962</v>
      </c>
      <c r="AT43" s="136"/>
      <c r="AU43" s="117"/>
      <c r="AV43" s="155">
        <f>(AV$16*(P43/100))/N43</f>
        <v>0.13216892025429297</v>
      </c>
      <c r="AW43" s="155">
        <f>(AW$16*(Q43/100))/N43</f>
        <v>7.8346373440473668E-2</v>
      </c>
      <c r="AX43" s="155">
        <f>1-(AV43+AW43)</f>
        <v>0.78948470630523337</v>
      </c>
      <c r="AY43" s="155">
        <f>(AX$16*(P43/100))/O43</f>
        <v>9.7894380007401638E-2</v>
      </c>
      <c r="AZ43" s="155">
        <f>1-(AY43)</f>
        <v>0.90210561999259831</v>
      </c>
      <c r="BA43" s="117"/>
      <c r="BB43" s="117"/>
      <c r="BC43" s="117"/>
    </row>
    <row r="44" spans="1:55" s="116" customFormat="1">
      <c r="A44" s="148">
        <v>1401</v>
      </c>
      <c r="B44" s="113">
        <v>139.5</v>
      </c>
      <c r="C44" s="113">
        <v>140</v>
      </c>
      <c r="D44" s="113">
        <v>139.75</v>
      </c>
      <c r="E44" s="113"/>
      <c r="F44" s="113"/>
      <c r="G44" s="117"/>
      <c r="H44" s="162"/>
      <c r="I44" s="176"/>
      <c r="J44" s="112"/>
      <c r="K44" s="156"/>
      <c r="L44" s="156"/>
      <c r="M44" s="113"/>
      <c r="N44" s="178">
        <v>3.37</v>
      </c>
      <c r="O44" s="178">
        <v>1.659</v>
      </c>
      <c r="P44" s="178">
        <v>5.45</v>
      </c>
      <c r="Q44" s="179">
        <v>13.52</v>
      </c>
      <c r="R44" s="180">
        <v>1225.0227</v>
      </c>
      <c r="S44" s="178">
        <v>3.7242152427194739</v>
      </c>
      <c r="T44" s="84"/>
      <c r="U44" s="183"/>
      <c r="V44" s="184">
        <v>143</v>
      </c>
      <c r="W44" s="183">
        <v>660</v>
      </c>
      <c r="X44" s="184">
        <v>6.968</v>
      </c>
      <c r="Y44" s="184">
        <v>107.21299999999999</v>
      </c>
      <c r="Z44" s="113"/>
      <c r="AA44" s="149"/>
      <c r="AB44" s="150"/>
      <c r="AC44" s="151"/>
      <c r="AD44" s="152"/>
      <c r="AE44" s="150"/>
      <c r="AF44" s="153"/>
      <c r="AG44" s="87"/>
      <c r="AH44" s="87"/>
      <c r="AI44" s="87"/>
      <c r="AJ44" s="113"/>
      <c r="AK44" s="174">
        <f t="shared" si="0"/>
        <v>0.61834862385321099</v>
      </c>
      <c r="AL44" s="174">
        <f t="shared" si="1"/>
        <v>0.30440366972477062</v>
      </c>
      <c r="AM44" s="174">
        <f t="shared" si="2"/>
        <v>0.49228486646884273</v>
      </c>
      <c r="AN44" s="187"/>
      <c r="AO44" s="187"/>
      <c r="AP44" s="174">
        <f t="shared" si="3"/>
        <v>0.68334224637054564</v>
      </c>
      <c r="AQ44" s="189">
        <f t="shared" si="4"/>
        <v>26.238532110091743</v>
      </c>
      <c r="AR44" s="154">
        <f t="shared" si="5"/>
        <v>1.2785321100917431</v>
      </c>
      <c r="AS44" s="189">
        <f t="shared" si="6"/>
        <v>19.672110091743118</v>
      </c>
      <c r="AT44" s="136"/>
      <c r="AU44" s="117"/>
      <c r="AV44" s="155"/>
      <c r="AW44" s="155"/>
      <c r="AX44" s="155"/>
      <c r="AY44" s="155"/>
      <c r="AZ44" s="155"/>
      <c r="BA44" s="117"/>
      <c r="BB44" s="117"/>
      <c r="BC44" s="117"/>
    </row>
    <row r="45" spans="1:55" s="118" customFormat="1">
      <c r="A45" s="157">
        <v>1402</v>
      </c>
      <c r="B45" s="130">
        <v>144.5</v>
      </c>
      <c r="C45" s="130">
        <v>145</v>
      </c>
      <c r="D45" s="130">
        <f>(B45+C45)/2</f>
        <v>144.75</v>
      </c>
      <c r="E45" s="130"/>
      <c r="F45" s="130"/>
      <c r="G45" s="131">
        <v>-0.57106910977663272</v>
      </c>
      <c r="H45" s="163">
        <v>4.4737233357765666E-2</v>
      </c>
      <c r="I45" s="131">
        <v>0.1</v>
      </c>
      <c r="J45" s="118">
        <v>0.02</v>
      </c>
      <c r="K45" s="161">
        <v>99.314421103743655</v>
      </c>
      <c r="L45" s="161">
        <v>8</v>
      </c>
      <c r="M45" s="130"/>
      <c r="N45" s="190">
        <v>2.9089999999999998</v>
      </c>
      <c r="O45" s="190">
        <v>1.3129999999999999</v>
      </c>
      <c r="P45" s="190">
        <v>5.0851716013738963</v>
      </c>
      <c r="Q45" s="158">
        <v>13.96</v>
      </c>
      <c r="R45" s="160">
        <v>1213.7177000000001</v>
      </c>
      <c r="S45" s="190">
        <v>3.4714655854580463</v>
      </c>
      <c r="T45" s="186">
        <f>(0.79+0.72)/2</f>
        <v>0.755</v>
      </c>
      <c r="U45" s="191"/>
      <c r="V45" s="192">
        <v>146.62289999999999</v>
      </c>
      <c r="W45" s="191">
        <v>738</v>
      </c>
      <c r="X45" s="192">
        <v>3.5790000000000002</v>
      </c>
      <c r="Y45" s="192">
        <v>99.808999999999997</v>
      </c>
      <c r="Z45" s="130"/>
      <c r="AA45" s="193">
        <f>AX45*N45</f>
        <v>1.9061014670516192</v>
      </c>
      <c r="AB45" s="194">
        <f>(G45-(AV45*$AV$17)-($AW$17*AW45))/AX45</f>
        <v>-0.68989007310810635</v>
      </c>
      <c r="AC45" s="195">
        <f>$H45*(AB45-$AV$17)/($G45-$AV$17)*(1/AX45)</f>
        <v>9.8203954616757655E-2</v>
      </c>
      <c r="AD45" s="196">
        <f>O45*AZ45</f>
        <v>0.70786457943650627</v>
      </c>
      <c r="AE45" s="194">
        <f>(I45-(AY45*$AX$17))/AZ45</f>
        <v>0.18548745595452878</v>
      </c>
      <c r="AF45" s="197">
        <f>$J45*(AE45-$AX$17)/($I45-$AX$17)*(1/AZ45)</f>
        <v>6.881119263296652E-2</v>
      </c>
      <c r="AG45" s="103">
        <f>(N45/(P45*10000)*1000000)/$AX$16</f>
        <v>4.8071884426979663</v>
      </c>
      <c r="AH45" s="103">
        <f>(O45/(P45*10000)*1000000)/$AV$16</f>
        <v>2.3907565683963852</v>
      </c>
      <c r="AI45" s="103">
        <f>AD45/AA45</f>
        <v>0.37136773234398679</v>
      </c>
      <c r="AJ45" s="130"/>
      <c r="AK45" s="177">
        <f t="shared" si="0"/>
        <v>0.57205542468105797</v>
      </c>
      <c r="AL45" s="177">
        <f t="shared" si="1"/>
        <v>0.25820170938680959</v>
      </c>
      <c r="AM45" s="177">
        <f t="shared" si="2"/>
        <v>0.45135785493296665</v>
      </c>
      <c r="AN45" s="188">
        <f>O45/T45</f>
        <v>1.7390728476821191</v>
      </c>
      <c r="AO45" s="188">
        <f>N45/P45</f>
        <v>0.57205542468105797</v>
      </c>
      <c r="AP45" s="177">
        <f t="shared" si="3"/>
        <v>0.68266439317802696</v>
      </c>
      <c r="AQ45" s="198">
        <f t="shared" si="4"/>
        <v>28.83342225076256</v>
      </c>
      <c r="AR45" s="158">
        <f t="shared" si="5"/>
        <v>0.70381105704142544</v>
      </c>
      <c r="AS45" s="198">
        <f t="shared" si="6"/>
        <v>19.627459567546136</v>
      </c>
      <c r="AT45" s="137"/>
      <c r="AU45" s="131"/>
      <c r="AV45" s="159">
        <f>(AV$16*(P45/100))/N45</f>
        <v>0.18879289547898964</v>
      </c>
      <c r="AW45" s="159">
        <f>(AW$16*(Q45/100))/N45</f>
        <v>0.1559642488827776</v>
      </c>
      <c r="AX45" s="159">
        <f>1-(AV45+AW45)</f>
        <v>0.65524285563823281</v>
      </c>
      <c r="AY45" s="159">
        <f>(AX$16*(P45/100))/O45</f>
        <v>0.46087998519687257</v>
      </c>
      <c r="AZ45" s="159">
        <f>1-(AY45)</f>
        <v>0.53912001480312743</v>
      </c>
      <c r="BA45" s="131"/>
      <c r="BB45" s="131"/>
      <c r="BC45" s="131"/>
    </row>
    <row r="46" spans="1:55" customFormat="1" ht="12.6">
      <c r="A46" t="s">
        <v>101</v>
      </c>
      <c r="K46" s="106"/>
      <c r="L46" s="106"/>
      <c r="P46" s="106"/>
      <c r="AT46" s="133"/>
    </row>
    <row r="47" spans="1:55" customFormat="1" ht="12.6">
      <c r="A47" s="181" t="s">
        <v>97</v>
      </c>
      <c r="K47" s="106"/>
      <c r="L47" s="106"/>
      <c r="P47" s="106"/>
      <c r="AT47" s="133"/>
    </row>
    <row r="48" spans="1:55" customFormat="1" ht="12.6">
      <c r="A48" s="392" t="s">
        <v>232</v>
      </c>
      <c r="K48" s="106"/>
      <c r="L48" s="106"/>
      <c r="P48" s="106"/>
      <c r="AE48" t="s">
        <v>90</v>
      </c>
      <c r="AT48" s="133"/>
    </row>
    <row r="49" spans="1:55" ht="12.6">
      <c r="A49" s="67" t="s">
        <v>234</v>
      </c>
      <c r="L49" s="3"/>
      <c r="N49" s="3"/>
      <c r="O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V49" s="3"/>
      <c r="AZ49" s="3"/>
      <c r="BA49" s="3"/>
      <c r="BB49" s="3"/>
    </row>
    <row r="50" spans="1:55" ht="12.6">
      <c r="A50" s="22"/>
      <c r="L50" s="3"/>
      <c r="N50" s="3"/>
      <c r="O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V50" s="3"/>
      <c r="AZ50" s="3"/>
      <c r="BA50" s="3"/>
      <c r="BB50" s="3"/>
    </row>
    <row r="51" spans="1:55" ht="15">
      <c r="A51" s="7" t="s">
        <v>233</v>
      </c>
      <c r="B51" s="8"/>
      <c r="AB51" s="29"/>
      <c r="AC51" s="29"/>
      <c r="AD51" s="29"/>
      <c r="AE51" s="29"/>
      <c r="AF51" s="29"/>
      <c r="BA51" s="13"/>
    </row>
    <row r="52" spans="1:55" ht="12.6">
      <c r="A52" s="7" t="s">
        <v>4</v>
      </c>
      <c r="B52" s="7" t="s">
        <v>59</v>
      </c>
      <c r="G52" s="21" t="s">
        <v>30</v>
      </c>
      <c r="H52" s="20"/>
      <c r="N52" s="32" t="s">
        <v>50</v>
      </c>
      <c r="AA52" s="50" t="s">
        <v>41</v>
      </c>
      <c r="AB52" s="68"/>
      <c r="AC52" s="68"/>
      <c r="AD52" s="68"/>
      <c r="AE52" s="68"/>
      <c r="AF52" s="68"/>
      <c r="AG52" s="69"/>
      <c r="AH52" s="5"/>
      <c r="AI52" s="5"/>
      <c r="AJ52" s="5"/>
      <c r="AK52" s="51" t="s">
        <v>43</v>
      </c>
      <c r="AL52" s="4"/>
      <c r="AM52" s="4"/>
      <c r="AN52" s="4"/>
      <c r="AO52" s="4"/>
      <c r="AP52" s="4"/>
      <c r="AQ52" s="4"/>
      <c r="AR52" s="4"/>
      <c r="AS52" s="4"/>
      <c r="AU52" s="5"/>
      <c r="AY52" s="4"/>
      <c r="AZ52" s="17"/>
      <c r="BA52" s="70"/>
      <c r="BB52" s="17"/>
      <c r="BC52" s="17"/>
    </row>
    <row r="53" spans="1:55" ht="12.6">
      <c r="A53" s="1" t="s">
        <v>49</v>
      </c>
      <c r="B53" s="10"/>
      <c r="C53" s="10"/>
      <c r="D53" s="4"/>
      <c r="E53" s="4"/>
      <c r="F53" s="4"/>
      <c r="G53" s="1"/>
      <c r="H53" s="6"/>
      <c r="I53" s="6"/>
      <c r="J53" s="6"/>
      <c r="M53" s="6"/>
      <c r="O53" s="24"/>
      <c r="P53" s="24"/>
      <c r="Q53" s="24"/>
      <c r="R53" s="24"/>
      <c r="S53" s="24"/>
      <c r="T53" s="23"/>
      <c r="U53" s="23"/>
      <c r="V53" s="23"/>
      <c r="W53" s="23"/>
      <c r="X53" s="23"/>
      <c r="Y53" s="23"/>
      <c r="Z53" s="6"/>
      <c r="AA53" s="71" t="s">
        <v>26</v>
      </c>
      <c r="AB53" s="72"/>
      <c r="AC53" s="72"/>
      <c r="AD53" s="71" t="s">
        <v>28</v>
      </c>
      <c r="AE53" s="72"/>
      <c r="AF53" s="72"/>
      <c r="AG53" s="67"/>
      <c r="AH53" s="26"/>
      <c r="AI53" s="26"/>
      <c r="AJ53" s="26"/>
      <c r="AK53" s="69"/>
      <c r="AL53" s="31"/>
      <c r="AM53" s="31"/>
      <c r="AN53" s="31"/>
      <c r="AO53" s="31"/>
      <c r="AP53" s="31"/>
      <c r="AQ53" s="31"/>
      <c r="AR53" s="31"/>
      <c r="AS53" s="31"/>
      <c r="AU53" s="26"/>
      <c r="AV53" s="24"/>
      <c r="AW53" s="24"/>
      <c r="AX53" s="23"/>
      <c r="AY53" s="31"/>
      <c r="AZ53" s="27"/>
      <c r="BA53" s="28"/>
      <c r="BB53" s="27"/>
      <c r="BC53" s="27"/>
    </row>
    <row r="54" spans="1:55">
      <c r="B54" s="57"/>
      <c r="C54" s="23" t="s">
        <v>34</v>
      </c>
      <c r="D54" s="23" t="s">
        <v>34</v>
      </c>
      <c r="E54" s="24" t="s">
        <v>35</v>
      </c>
      <c r="F54" s="10"/>
      <c r="G54" s="66" t="s">
        <v>68</v>
      </c>
      <c r="H54" s="58" t="s">
        <v>29</v>
      </c>
      <c r="I54" s="66" t="s">
        <v>69</v>
      </c>
      <c r="J54" s="59" t="s">
        <v>29</v>
      </c>
      <c r="K54" s="66" t="s">
        <v>109</v>
      </c>
      <c r="L54" s="58" t="s">
        <v>29</v>
      </c>
      <c r="M54" s="59"/>
      <c r="N54" s="24" t="s">
        <v>31</v>
      </c>
      <c r="O54" s="24" t="s">
        <v>32</v>
      </c>
      <c r="P54" s="24" t="s">
        <v>52</v>
      </c>
      <c r="Q54" s="24" t="s">
        <v>53</v>
      </c>
      <c r="R54" s="24" t="s">
        <v>48</v>
      </c>
      <c r="S54" s="24" t="s">
        <v>54</v>
      </c>
      <c r="T54" s="25" t="s">
        <v>71</v>
      </c>
      <c r="U54" s="25" t="s">
        <v>93</v>
      </c>
      <c r="V54" s="25" t="s">
        <v>46</v>
      </c>
      <c r="W54" s="25" t="s">
        <v>47</v>
      </c>
      <c r="X54" s="25" t="s">
        <v>94</v>
      </c>
      <c r="Y54" s="25" t="s">
        <v>95</v>
      </c>
      <c r="Z54" s="59"/>
      <c r="AA54" s="72" t="s">
        <v>58</v>
      </c>
      <c r="AB54" s="76" t="s">
        <v>72</v>
      </c>
      <c r="AC54" s="73" t="s">
        <v>27</v>
      </c>
      <c r="AD54" s="72" t="s">
        <v>32</v>
      </c>
      <c r="AE54" s="76" t="s">
        <v>73</v>
      </c>
      <c r="AF54" s="73" t="s">
        <v>27</v>
      </c>
      <c r="AG54" s="26" t="s">
        <v>36</v>
      </c>
      <c r="AH54" s="26" t="s">
        <v>37</v>
      </c>
      <c r="AI54" s="26" t="s">
        <v>85</v>
      </c>
      <c r="AJ54" s="26"/>
      <c r="AK54" s="31" t="s">
        <v>61</v>
      </c>
      <c r="AL54" s="31" t="s">
        <v>63</v>
      </c>
      <c r="AM54" s="31" t="s">
        <v>25</v>
      </c>
      <c r="AN54" s="30" t="s">
        <v>65</v>
      </c>
      <c r="AO54" s="31" t="s">
        <v>60</v>
      </c>
      <c r="AP54" s="31" t="s">
        <v>44</v>
      </c>
      <c r="AQ54" s="31" t="s">
        <v>0</v>
      </c>
      <c r="AR54" s="31" t="s">
        <v>98</v>
      </c>
      <c r="AS54" s="31" t="s">
        <v>99</v>
      </c>
      <c r="AU54" s="26"/>
      <c r="AV54" s="26" t="s">
        <v>38</v>
      </c>
      <c r="AW54" s="26" t="s">
        <v>39</v>
      </c>
      <c r="AX54" s="27" t="s">
        <v>40</v>
      </c>
      <c r="AY54" s="26" t="s">
        <v>42</v>
      </c>
      <c r="AZ54" s="27" t="s">
        <v>45</v>
      </c>
    </row>
    <row r="55" spans="1:55" s="18" customFormat="1" ht="12.6">
      <c r="B55" s="54" t="s">
        <v>24</v>
      </c>
      <c r="C55" s="54" t="s">
        <v>1</v>
      </c>
      <c r="D55" s="54" t="s">
        <v>2</v>
      </c>
      <c r="E55" s="54" t="s">
        <v>3</v>
      </c>
      <c r="F55" s="52"/>
      <c r="G55" s="60" t="s">
        <v>66</v>
      </c>
      <c r="H55" s="61"/>
      <c r="I55" s="60" t="s">
        <v>100</v>
      </c>
      <c r="J55" s="62"/>
      <c r="K55"/>
      <c r="L55" s="243"/>
      <c r="M55" s="62"/>
      <c r="N55" s="53" t="s">
        <v>51</v>
      </c>
      <c r="O55" s="54" t="s">
        <v>51</v>
      </c>
      <c r="P55" s="54" t="s">
        <v>33</v>
      </c>
      <c r="Q55" s="54" t="s">
        <v>33</v>
      </c>
      <c r="R55" s="54" t="s">
        <v>33</v>
      </c>
      <c r="S55" s="54" t="s">
        <v>33</v>
      </c>
      <c r="T55" s="54" t="s">
        <v>33</v>
      </c>
      <c r="U55" s="54" t="s">
        <v>33</v>
      </c>
      <c r="V55" s="54" t="s">
        <v>51</v>
      </c>
      <c r="W55" s="54" t="s">
        <v>51</v>
      </c>
      <c r="X55" s="54" t="s">
        <v>51</v>
      </c>
      <c r="Y55" s="54" t="s">
        <v>51</v>
      </c>
      <c r="Z55" s="62"/>
      <c r="AA55" s="74" t="s">
        <v>51</v>
      </c>
      <c r="AB55" s="75"/>
      <c r="AC55" s="56"/>
      <c r="AD55" s="74" t="s">
        <v>51</v>
      </c>
      <c r="AE55" s="75"/>
      <c r="AF55" s="56"/>
      <c r="AG55" s="55" t="s">
        <v>55</v>
      </c>
      <c r="AH55" s="55" t="s">
        <v>56</v>
      </c>
      <c r="AI55" s="55"/>
      <c r="AJ55" s="55"/>
      <c r="AK55" s="63" t="s">
        <v>62</v>
      </c>
      <c r="AL55" s="63" t="s">
        <v>62</v>
      </c>
      <c r="AM55" s="63" t="s">
        <v>64</v>
      </c>
      <c r="AN55" s="63" t="s">
        <v>62</v>
      </c>
      <c r="AO55" s="63" t="s">
        <v>62</v>
      </c>
      <c r="AP55" s="63" t="s">
        <v>62</v>
      </c>
      <c r="AQ55" s="63" t="s">
        <v>62</v>
      </c>
      <c r="AR55" s="63" t="s">
        <v>62</v>
      </c>
      <c r="AS55" s="63" t="s">
        <v>62</v>
      </c>
      <c r="AT55" s="138"/>
      <c r="AU55" s="55"/>
      <c r="AV55" s="56"/>
      <c r="AW55" s="55" t="s">
        <v>57</v>
      </c>
      <c r="AX55" s="56"/>
      <c r="AY55" s="56"/>
      <c r="AZ55" s="56"/>
    </row>
    <row r="56" spans="1:55" s="78" customFormat="1" ht="12.6">
      <c r="A56" s="77"/>
      <c r="B56" s="78" t="s">
        <v>5</v>
      </c>
      <c r="C56" s="79">
        <v>70</v>
      </c>
      <c r="D56" s="79">
        <v>71</v>
      </c>
      <c r="E56" s="79">
        <v>70.5</v>
      </c>
      <c r="F56" s="79"/>
      <c r="G56" s="80">
        <v>-0.35004968217888788</v>
      </c>
      <c r="H56" s="164">
        <v>0.03</v>
      </c>
      <c r="I56" s="81">
        <v>1.3800000000000001</v>
      </c>
      <c r="J56" s="167">
        <v>0.03</v>
      </c>
      <c r="K56" s="119">
        <v>173.63148146160432</v>
      </c>
      <c r="L56" s="119">
        <v>1</v>
      </c>
      <c r="M56" s="81"/>
      <c r="N56" s="82">
        <v>8</v>
      </c>
      <c r="O56" s="83">
        <v>5.2</v>
      </c>
      <c r="P56" s="83">
        <v>6.4</v>
      </c>
      <c r="Q56" s="84">
        <v>6</v>
      </c>
      <c r="R56" s="85">
        <v>0.09</v>
      </c>
      <c r="S56" s="83">
        <v>4.5</v>
      </c>
      <c r="T56" s="86">
        <v>0.5</v>
      </c>
      <c r="U56" s="87">
        <v>0.3024</v>
      </c>
      <c r="V56" s="83">
        <v>130</v>
      </c>
      <c r="W56" s="83">
        <v>321</v>
      </c>
      <c r="X56" s="90">
        <v>8</v>
      </c>
      <c r="Y56" s="204">
        <v>105</v>
      </c>
      <c r="Z56" s="81"/>
      <c r="AA56" s="88">
        <v>7.1137999999999995</v>
      </c>
      <c r="AB56" s="81">
        <v>-0.35354345883087851</v>
      </c>
      <c r="AC56" s="89">
        <v>3.6092310852260841E-2</v>
      </c>
      <c r="AD56" s="88">
        <v>4.4384000000000006</v>
      </c>
      <c r="AE56" s="81">
        <v>1.6167988464311465</v>
      </c>
      <c r="AF56" s="89">
        <v>4.1178930526482124E-2</v>
      </c>
      <c r="AG56" s="173">
        <f>(N56/(P56*10000)*1000000)/$AX$16</f>
        <v>10.504201680672269</v>
      </c>
      <c r="AH56" s="173">
        <f>(O56/(P56*10000)*1000000)/$AV$16</f>
        <v>7.5231481481481479</v>
      </c>
      <c r="AI56" s="87">
        <f t="shared" ref="AI56:AI74" si="7">AD56/AA56</f>
        <v>0.62391408248755953</v>
      </c>
      <c r="AJ56" s="90"/>
      <c r="AK56" s="87">
        <v>1.25</v>
      </c>
      <c r="AL56" s="87">
        <v>0.8125</v>
      </c>
      <c r="AM56" s="87">
        <v>0.65</v>
      </c>
      <c r="AN56" s="87">
        <v>17.195767195767196</v>
      </c>
      <c r="AO56" s="87">
        <v>16</v>
      </c>
      <c r="AP56" s="87">
        <v>0.703125</v>
      </c>
      <c r="AQ56" s="189">
        <f t="shared" ref="AQ56:AQ74" si="8">V56/P56</f>
        <v>20.3125</v>
      </c>
      <c r="AR56" s="154">
        <f t="shared" ref="AR56:AR74" si="9">X56/P56</f>
        <v>1.25</v>
      </c>
      <c r="AS56" s="189">
        <f t="shared" ref="AS56:AS74" si="10">Y56/P56</f>
        <v>16.40625</v>
      </c>
      <c r="AT56" s="139"/>
      <c r="AU56" s="90"/>
      <c r="AV56" s="91">
        <v>8.6400000000000005E-2</v>
      </c>
      <c r="AW56" s="91">
        <v>2.4375000000000001E-2</v>
      </c>
      <c r="AX56" s="91">
        <v>0.88922499999999993</v>
      </c>
      <c r="AY56" s="91">
        <v>0.14646153846153848</v>
      </c>
      <c r="AZ56" s="91">
        <v>0.85353846153846158</v>
      </c>
    </row>
    <row r="57" spans="1:55" s="78" customFormat="1" ht="12.6">
      <c r="A57" s="77"/>
      <c r="B57" s="78" t="s">
        <v>6</v>
      </c>
      <c r="C57" s="79">
        <v>71</v>
      </c>
      <c r="D57" s="79">
        <v>72</v>
      </c>
      <c r="E57" s="79">
        <v>71.5</v>
      </c>
      <c r="F57" s="79"/>
      <c r="G57" s="80">
        <v>-0.28047547110277016</v>
      </c>
      <c r="H57" s="164">
        <v>0.03</v>
      </c>
      <c r="I57" s="81">
        <v>1.47</v>
      </c>
      <c r="J57" s="167">
        <v>0.03</v>
      </c>
      <c r="K57" s="119">
        <v>223.70848920518381</v>
      </c>
      <c r="L57" s="119">
        <v>1</v>
      </c>
      <c r="M57" s="81"/>
      <c r="N57" s="92">
        <v>7.7787258021732821</v>
      </c>
      <c r="O57" s="92">
        <v>5.1001027525436404</v>
      </c>
      <c r="P57" s="92">
        <v>5.7124881226206359</v>
      </c>
      <c r="Q57" s="92">
        <f>P57*40.08/56.08</f>
        <v>4.0826769606746627</v>
      </c>
      <c r="R57" s="94">
        <v>0.18</v>
      </c>
      <c r="S57" s="92">
        <v>3.7667381450041937</v>
      </c>
      <c r="T57" s="86">
        <v>0.3</v>
      </c>
      <c r="U57" s="87">
        <v>0.3407</v>
      </c>
      <c r="V57" s="93">
        <v>176.79066064235096</v>
      </c>
      <c r="W57" s="93">
        <v>529.02135679611649</v>
      </c>
      <c r="X57" s="90">
        <v>8</v>
      </c>
      <c r="Y57" s="93">
        <v>100</v>
      </c>
      <c r="Z57" s="81"/>
      <c r="AA57" s="88">
        <v>7.0290900837083274</v>
      </c>
      <c r="AB57" s="81">
        <v>-0.27650554269988425</v>
      </c>
      <c r="AC57" s="89">
        <v>3.9949878471389449E-2</v>
      </c>
      <c r="AD57" s="88">
        <v>4.420316665951785</v>
      </c>
      <c r="AE57" s="81">
        <v>1.696066506725002</v>
      </c>
      <c r="AF57" s="89">
        <v>3.9936715191369591E-2</v>
      </c>
      <c r="AG57" s="90">
        <f>(N57/(P57*10000)*1000000)/$AX$16</f>
        <v>11.442902341782757</v>
      </c>
      <c r="AH57" s="90">
        <f>(O57/(P57*10000)*1000000)/$AV$16</f>
        <v>8.2666558986208347</v>
      </c>
      <c r="AI57" s="87">
        <f t="shared" si="7"/>
        <v>0.62886043759731769</v>
      </c>
      <c r="AJ57" s="90"/>
      <c r="AK57" s="87">
        <v>1.3617053786721482</v>
      </c>
      <c r="AL57" s="87">
        <v>0.89279883705105012</v>
      </c>
      <c r="AM57" s="87">
        <v>0.65564758062544548</v>
      </c>
      <c r="AN57" s="87">
        <v>14.969482690177987</v>
      </c>
      <c r="AO57" s="87">
        <v>25.929086007244276</v>
      </c>
      <c r="AP57" s="87">
        <v>0.65938660425191076</v>
      </c>
      <c r="AQ57" s="189">
        <f t="shared" si="8"/>
        <v>30.948101220952257</v>
      </c>
      <c r="AR57" s="154">
        <f t="shared" si="9"/>
        <v>1.4004405485450628</v>
      </c>
      <c r="AS57" s="189">
        <f t="shared" si="10"/>
        <v>17.505506856813287</v>
      </c>
      <c r="AT57" s="139"/>
      <c r="AU57" s="90"/>
      <c r="AV57" s="91">
        <v>7.9312310644843759E-2</v>
      </c>
      <c r="AW57" s="91">
        <v>1.7057678159172984E-2</v>
      </c>
      <c r="AX57" s="91">
        <v>0.9036300111959833</v>
      </c>
      <c r="AY57" s="91">
        <v>0.13328870408597496</v>
      </c>
      <c r="AZ57" s="91">
        <v>0.86671129591402507</v>
      </c>
    </row>
    <row r="58" spans="1:55" s="78" customFormat="1" ht="12.6">
      <c r="A58" s="77"/>
      <c r="B58" s="78" t="s">
        <v>7</v>
      </c>
      <c r="C58" s="79">
        <v>72</v>
      </c>
      <c r="D58" s="79">
        <v>73</v>
      </c>
      <c r="E58" s="79">
        <v>72.5</v>
      </c>
      <c r="F58" s="79"/>
      <c r="G58" s="80">
        <v>-0.29023306636555279</v>
      </c>
      <c r="H58" s="164">
        <v>0.03</v>
      </c>
      <c r="I58" s="81">
        <v>1.6500000000000001</v>
      </c>
      <c r="J58" s="167">
        <v>0.03</v>
      </c>
      <c r="K58" s="119">
        <v>233.88062216394451</v>
      </c>
      <c r="L58" s="119">
        <v>1</v>
      </c>
      <c r="M58" s="81"/>
      <c r="N58" s="92">
        <v>9.1847535203632944</v>
      </c>
      <c r="O58" s="92">
        <v>4.78353530466197</v>
      </c>
      <c r="P58" s="92">
        <v>5.2425989503012955</v>
      </c>
      <c r="Q58" s="92">
        <f>P58*40.08/56.08</f>
        <v>3.7468503196875163</v>
      </c>
      <c r="R58" s="94">
        <v>0.12</v>
      </c>
      <c r="S58" s="92">
        <v>3.4036514388735952</v>
      </c>
      <c r="T58" s="86">
        <v>0.8</v>
      </c>
      <c r="U58" s="87">
        <v>0.3367</v>
      </c>
      <c r="V58" s="93">
        <v>549.96533229423073</v>
      </c>
      <c r="W58" s="93">
        <v>509.75769417475726</v>
      </c>
      <c r="X58" s="90">
        <v>5</v>
      </c>
      <c r="Y58" s="93">
        <v>113</v>
      </c>
      <c r="Z58" s="81"/>
      <c r="AA58" s="88">
        <v>8.4967801983409093</v>
      </c>
      <c r="AB58" s="81">
        <v>-0.28800908823779836</v>
      </c>
      <c r="AC58" s="89">
        <v>3.981331569545609E-2</v>
      </c>
      <c r="AD58" s="88">
        <v>4.1596660295761154</v>
      </c>
      <c r="AE58" s="81">
        <v>1.8974680170409157</v>
      </c>
      <c r="AF58" s="89">
        <v>3.9673662542073655E-2</v>
      </c>
      <c r="AG58" s="90">
        <f>(N58/(P58*10000)*1000000)/$AX$16</f>
        <v>14.722240519216671</v>
      </c>
      <c r="AH58" s="90">
        <f>(O58/(P58*10000)*1000000)/$AV$16</f>
        <v>8.448480225468975</v>
      </c>
      <c r="AI58" s="87">
        <f t="shared" si="7"/>
        <v>0.48955791870293835</v>
      </c>
      <c r="AJ58" s="90"/>
      <c r="AK58" s="87">
        <v>1.7519466217867841</v>
      </c>
      <c r="AL58" s="87">
        <v>0.91243586435064938</v>
      </c>
      <c r="AM58" s="87">
        <v>0.52081259383352096</v>
      </c>
      <c r="AN58" s="87">
        <v>14.207114061960112</v>
      </c>
      <c r="AO58" s="87">
        <v>11.480941900454118</v>
      </c>
      <c r="AP58" s="87">
        <v>0.64922979444727225</v>
      </c>
      <c r="AQ58" s="189">
        <f t="shared" si="8"/>
        <v>104.90318590221818</v>
      </c>
      <c r="AR58" s="154">
        <f t="shared" si="9"/>
        <v>0.95372544178925733</v>
      </c>
      <c r="AS58" s="189">
        <f t="shared" si="10"/>
        <v>21.554194984437217</v>
      </c>
      <c r="AT58" s="139"/>
      <c r="AU58" s="90"/>
      <c r="AV58" s="91">
        <v>6.1645713777428009E-2</v>
      </c>
      <c r="AW58" s="91">
        <v>1.3258127735258775E-2</v>
      </c>
      <c r="AX58" s="91">
        <v>0.92509615848731319</v>
      </c>
      <c r="AY58" s="91">
        <v>0.13042012556651134</v>
      </c>
      <c r="AZ58" s="91">
        <v>0.86957987443348861</v>
      </c>
    </row>
    <row r="59" spans="1:55" s="34" customFormat="1" ht="12.6">
      <c r="A59" s="33"/>
      <c r="B59" s="34" t="s">
        <v>8</v>
      </c>
      <c r="C59" s="35">
        <v>76</v>
      </c>
      <c r="D59" s="35">
        <v>77</v>
      </c>
      <c r="E59" s="35">
        <v>76.5</v>
      </c>
      <c r="F59" s="35"/>
      <c r="G59" s="36">
        <v>-0.14551584989741517</v>
      </c>
      <c r="H59" s="165">
        <v>0.03</v>
      </c>
      <c r="I59" s="37">
        <v>2.3000000000000003</v>
      </c>
      <c r="J59" s="166">
        <v>0.03</v>
      </c>
      <c r="K59" s="121">
        <v>72.97344549615174</v>
      </c>
      <c r="L59" s="121">
        <v>1</v>
      </c>
      <c r="M59" s="37"/>
      <c r="N59" s="38">
        <v>37.346225305644708</v>
      </c>
      <c r="O59" s="38">
        <v>106.914888276542</v>
      </c>
      <c r="P59" s="39">
        <v>5.3890855044213426</v>
      </c>
      <c r="Q59" s="39">
        <f>P59*40.08/56.08</f>
        <v>3.8515432777676071</v>
      </c>
      <c r="R59" s="40">
        <v>0.1</v>
      </c>
      <c r="S59" s="39">
        <v>7.0480163223201524</v>
      </c>
      <c r="T59" s="41">
        <v>3</v>
      </c>
      <c r="U59" s="48">
        <v>3.2647000000000004</v>
      </c>
      <c r="V59" s="38">
        <v>1631.3052714718845</v>
      </c>
      <c r="W59" s="38">
        <v>368.33480815533977</v>
      </c>
      <c r="X59" s="202">
        <v>73</v>
      </c>
      <c r="Y59" s="38">
        <v>361</v>
      </c>
      <c r="Z59" s="37"/>
      <c r="AA59" s="43">
        <v>36.639028914639759</v>
      </c>
      <c r="AB59" s="37">
        <v>-0.14219239530050293</v>
      </c>
      <c r="AC59" s="44">
        <v>3.1236906171158822E-2</v>
      </c>
      <c r="AD59" s="43">
        <v>106.27358710151586</v>
      </c>
      <c r="AE59" s="37">
        <v>2.3138792031283484</v>
      </c>
      <c r="AF59" s="44">
        <v>3.0363158601152431E-2</v>
      </c>
      <c r="AG59" s="45">
        <v>64.166430867717978</v>
      </c>
      <c r="AH59" s="45">
        <v>166.71556585278998</v>
      </c>
      <c r="AI59" s="42">
        <f t="shared" si="7"/>
        <v>2.9005568719931984</v>
      </c>
      <c r="AJ59" s="45"/>
      <c r="AK59" s="42">
        <v>6.9299745337135432</v>
      </c>
      <c r="AL59" s="42">
        <v>19.839152336482009</v>
      </c>
      <c r="AM59" s="42">
        <v>2.8628030651435692</v>
      </c>
      <c r="AN59" s="42">
        <v>35.638296092180667</v>
      </c>
      <c r="AO59" s="42">
        <v>12.448741768548237</v>
      </c>
      <c r="AP59" s="42">
        <v>1.3078316008416977</v>
      </c>
      <c r="AQ59" s="199">
        <f t="shared" si="8"/>
        <v>302.70539781443813</v>
      </c>
      <c r="AR59" s="147">
        <f t="shared" si="9"/>
        <v>13.545897525676471</v>
      </c>
      <c r="AS59" s="199">
        <f t="shared" si="10"/>
        <v>66.987246668071307</v>
      </c>
      <c r="AT59" s="203"/>
      <c r="AU59" s="45"/>
      <c r="AV59" s="46">
        <v>1.5584472854062049E-2</v>
      </c>
      <c r="AW59" s="46">
        <v>3.3517485503020191E-3</v>
      </c>
      <c r="AX59" s="46">
        <v>0.98106377859563598</v>
      </c>
      <c r="AY59" s="46">
        <v>5.9982401456322382E-3</v>
      </c>
      <c r="AZ59" s="46">
        <v>0.99400175985436778</v>
      </c>
    </row>
    <row r="60" spans="1:55" s="34" customFormat="1" ht="12.6">
      <c r="A60" s="33"/>
      <c r="B60" s="34" t="s">
        <v>9</v>
      </c>
      <c r="C60" s="35">
        <v>78</v>
      </c>
      <c r="D60" s="35">
        <v>79</v>
      </c>
      <c r="E60" s="35">
        <v>78.5</v>
      </c>
      <c r="F60" s="35"/>
      <c r="G60" s="36">
        <v>-0.14519484008956862</v>
      </c>
      <c r="H60" s="165">
        <v>0.03</v>
      </c>
      <c r="I60" s="37">
        <v>2.02</v>
      </c>
      <c r="J60" s="166">
        <v>0.03</v>
      </c>
      <c r="K60" s="121">
        <v>71.579271006686739</v>
      </c>
      <c r="L60" s="121">
        <v>1</v>
      </c>
      <c r="M60" s="37"/>
      <c r="N60" s="38">
        <v>34</v>
      </c>
      <c r="O60" s="38">
        <v>109</v>
      </c>
      <c r="P60" s="39">
        <v>3.5</v>
      </c>
      <c r="Q60" s="38">
        <v>10</v>
      </c>
      <c r="R60" s="40">
        <v>0.11</v>
      </c>
      <c r="S60" s="47">
        <v>4.5</v>
      </c>
      <c r="T60" s="41">
        <v>3.4</v>
      </c>
      <c r="U60" s="42">
        <v>4.2967000000000004</v>
      </c>
      <c r="V60" s="47">
        <v>1500</v>
      </c>
      <c r="W60" s="38">
        <v>400</v>
      </c>
      <c r="X60" s="45">
        <v>66</v>
      </c>
      <c r="Y60" s="38">
        <v>366</v>
      </c>
      <c r="Z60" s="37"/>
      <c r="AA60" s="43">
        <v>33.296999999999997</v>
      </c>
      <c r="AB60" s="37">
        <v>-0.14095037279770953</v>
      </c>
      <c r="AC60" s="44">
        <v>3.1473300535786217E-2</v>
      </c>
      <c r="AD60" s="43">
        <v>108.5835</v>
      </c>
      <c r="AE60" s="37">
        <v>2.0277482306243582</v>
      </c>
      <c r="AF60" s="44">
        <v>3.023058685521185E-2</v>
      </c>
      <c r="AG60" s="45">
        <v>89.94708994708995</v>
      </c>
      <c r="AH60" s="45">
        <v>261.70468187274906</v>
      </c>
      <c r="AI60" s="42">
        <f t="shared" si="7"/>
        <v>3.2610595549148576</v>
      </c>
      <c r="AJ60" s="45"/>
      <c r="AK60" s="42">
        <v>9.7142857142857135</v>
      </c>
      <c r="AL60" s="42">
        <v>31.142857142857142</v>
      </c>
      <c r="AM60" s="42">
        <v>3.2058823529411766</v>
      </c>
      <c r="AN60" s="42">
        <v>32.058823529411768</v>
      </c>
      <c r="AO60" s="42">
        <v>10</v>
      </c>
      <c r="AP60" s="42">
        <v>1.2857142857142858</v>
      </c>
      <c r="AQ60" s="199">
        <f t="shared" si="8"/>
        <v>428.57142857142856</v>
      </c>
      <c r="AR60" s="147">
        <f t="shared" si="9"/>
        <v>18.857142857142858</v>
      </c>
      <c r="AS60" s="199">
        <f t="shared" si="10"/>
        <v>104.57142857142857</v>
      </c>
      <c r="AT60" s="203"/>
      <c r="AU60" s="45"/>
      <c r="AV60" s="46">
        <v>1.1117647058823531E-2</v>
      </c>
      <c r="AW60" s="46">
        <v>9.5588235294117654E-3</v>
      </c>
      <c r="AX60" s="46">
        <v>0.9793235294117647</v>
      </c>
      <c r="AY60" s="46">
        <v>3.8211009174311931E-3</v>
      </c>
      <c r="AZ60" s="46">
        <v>0.99617889908256885</v>
      </c>
    </row>
    <row r="61" spans="1:55" s="34" customFormat="1" ht="12.6">
      <c r="A61" s="33"/>
      <c r="B61" s="34" t="s">
        <v>10</v>
      </c>
      <c r="C61" s="35">
        <v>84</v>
      </c>
      <c r="D61" s="35">
        <v>85</v>
      </c>
      <c r="E61" s="35">
        <v>84.5</v>
      </c>
      <c r="F61" s="35"/>
      <c r="G61" s="36">
        <v>-0.11663839960640576</v>
      </c>
      <c r="H61" s="165">
        <v>0.03</v>
      </c>
      <c r="I61" s="37">
        <v>2.04</v>
      </c>
      <c r="J61" s="166">
        <v>0.03</v>
      </c>
      <c r="K61" s="121">
        <v>55.257157493730872</v>
      </c>
      <c r="L61" s="121">
        <v>1</v>
      </c>
      <c r="M61" s="37"/>
      <c r="N61" s="38">
        <v>37.189138948788944</v>
      </c>
      <c r="O61" s="38">
        <v>133.22007718695201</v>
      </c>
      <c r="P61" s="39">
        <v>3.7411877331894869</v>
      </c>
      <c r="Q61" s="39">
        <f>P61*40.08/56.08</f>
        <v>2.6738017893408461</v>
      </c>
      <c r="R61" s="40">
        <v>0.1</v>
      </c>
      <c r="S61" s="39">
        <v>3.8546435389102212</v>
      </c>
      <c r="T61" s="41">
        <v>2.1</v>
      </c>
      <c r="U61" s="42">
        <v>1.9723000000000002</v>
      </c>
      <c r="V61" s="38">
        <v>2102.4331144790867</v>
      </c>
      <c r="W61" s="38">
        <v>447.7505026213592</v>
      </c>
      <c r="X61" s="45">
        <v>32</v>
      </c>
      <c r="Y61" s="38">
        <v>390</v>
      </c>
      <c r="Z61" s="37"/>
      <c r="AA61" s="43">
        <v>36.698192115450901</v>
      </c>
      <c r="AB61" s="37">
        <v>-0.11394860353760082</v>
      </c>
      <c r="AC61" s="44">
        <v>3.0847306681228585E-2</v>
      </c>
      <c r="AD61" s="43">
        <v>132.77487584670246</v>
      </c>
      <c r="AE61" s="37">
        <v>2.0468402303396442</v>
      </c>
      <c r="AF61" s="44">
        <v>3.0201520534435176E-2</v>
      </c>
      <c r="AG61" s="45">
        <v>92.041325833678115</v>
      </c>
      <c r="AH61" s="45">
        <v>299.23557083695687</v>
      </c>
      <c r="AI61" s="42">
        <f t="shared" si="7"/>
        <v>3.6180222564915057</v>
      </c>
      <c r="AJ61" s="45"/>
      <c r="AK61" s="42">
        <v>9.9404631900372369</v>
      </c>
      <c r="AL61" s="42">
        <v>35.609032929597859</v>
      </c>
      <c r="AM61" s="42">
        <v>3.5822307521129173</v>
      </c>
      <c r="AN61" s="42">
        <v>63.438131993786669</v>
      </c>
      <c r="AO61" s="42">
        <v>17.709113785137593</v>
      </c>
      <c r="AP61" s="42">
        <v>1.0303261460830273</v>
      </c>
      <c r="AQ61" s="199">
        <f t="shared" si="8"/>
        <v>561.96942372808769</v>
      </c>
      <c r="AR61" s="147">
        <f t="shared" si="9"/>
        <v>8.5534333698669904</v>
      </c>
      <c r="AS61" s="199">
        <f t="shared" si="10"/>
        <v>104.24496919525394</v>
      </c>
      <c r="AT61" s="203"/>
      <c r="AU61" s="45"/>
      <c r="AV61" s="46">
        <v>1.0864684867828121E-2</v>
      </c>
      <c r="AW61" s="46">
        <v>2.3366649675121702E-3</v>
      </c>
      <c r="AX61" s="46">
        <v>0.98679865016465973</v>
      </c>
      <c r="AY61" s="46">
        <v>3.3418486886536147E-3</v>
      </c>
      <c r="AZ61" s="46">
        <v>0.99665815131134639</v>
      </c>
    </row>
    <row r="62" spans="1:55" s="34" customFormat="1" ht="12.6">
      <c r="A62" s="33"/>
      <c r="B62" s="34" t="s">
        <v>11</v>
      </c>
      <c r="C62" s="35">
        <v>85</v>
      </c>
      <c r="D62" s="35">
        <v>86</v>
      </c>
      <c r="E62" s="35">
        <v>85.5</v>
      </c>
      <c r="F62" s="35"/>
      <c r="G62" s="36">
        <v>-0.13847382312659473</v>
      </c>
      <c r="H62" s="165">
        <v>0.03</v>
      </c>
      <c r="I62" s="37">
        <v>2.04</v>
      </c>
      <c r="J62" s="166">
        <v>0.03</v>
      </c>
      <c r="K62" s="121">
        <v>53.566402629680297</v>
      </c>
      <c r="L62" s="121">
        <v>1</v>
      </c>
      <c r="M62" s="37"/>
      <c r="N62" s="38">
        <v>38</v>
      </c>
      <c r="O62" s="38">
        <v>105</v>
      </c>
      <c r="P62" s="39">
        <v>3.6</v>
      </c>
      <c r="Q62" s="38">
        <v>10.5</v>
      </c>
      <c r="R62" s="40">
        <v>0.11</v>
      </c>
      <c r="S62" s="48">
        <v>4</v>
      </c>
      <c r="T62" s="41">
        <v>2.7</v>
      </c>
      <c r="U62" s="42">
        <v>2.3207</v>
      </c>
      <c r="V62" s="47">
        <v>2000</v>
      </c>
      <c r="W62" s="38">
        <v>500</v>
      </c>
      <c r="X62" s="45">
        <v>30</v>
      </c>
      <c r="Y62" s="38">
        <v>397</v>
      </c>
      <c r="Z62" s="37"/>
      <c r="AA62" s="43">
        <v>37.269950000000001</v>
      </c>
      <c r="AB62" s="37">
        <v>-0.13439420441429623</v>
      </c>
      <c r="AC62" s="44">
        <v>3.1360188078493868E-2</v>
      </c>
      <c r="AD62" s="43">
        <v>104.5716</v>
      </c>
      <c r="AE62" s="37">
        <v>2.0483572977749218</v>
      </c>
      <c r="AF62" s="44">
        <v>3.0246306367847309E-2</v>
      </c>
      <c r="AG62" s="45">
        <v>97.736625514403272</v>
      </c>
      <c r="AH62" s="45">
        <v>245.0980392156863</v>
      </c>
      <c r="AI62" s="42">
        <f t="shared" si="7"/>
        <v>2.8057885776610916</v>
      </c>
      <c r="AJ62" s="45"/>
      <c r="AK62" s="42">
        <v>10.555555555555555</v>
      </c>
      <c r="AL62" s="42">
        <v>29.166666666666664</v>
      </c>
      <c r="AM62" s="42">
        <v>2.763157894736842</v>
      </c>
      <c r="AN62" s="42">
        <v>38.888888888888886</v>
      </c>
      <c r="AO62" s="42">
        <v>14.074074074074073</v>
      </c>
      <c r="AP62" s="42">
        <v>1.1111111111111112</v>
      </c>
      <c r="AQ62" s="199">
        <f t="shared" si="8"/>
        <v>555.55555555555554</v>
      </c>
      <c r="AR62" s="147">
        <f t="shared" si="9"/>
        <v>8.3333333333333339</v>
      </c>
      <c r="AS62" s="199">
        <f t="shared" si="10"/>
        <v>110.27777777777777</v>
      </c>
      <c r="AT62" s="203"/>
      <c r="AU62" s="45"/>
      <c r="AV62" s="46">
        <v>1.0231578947368423E-2</v>
      </c>
      <c r="AW62" s="46">
        <v>8.980263157894736E-3</v>
      </c>
      <c r="AX62" s="46">
        <v>0.98078815789473683</v>
      </c>
      <c r="AY62" s="46">
        <v>4.0800000000000003E-3</v>
      </c>
      <c r="AZ62" s="46">
        <v>0.99592000000000003</v>
      </c>
    </row>
    <row r="63" spans="1:55" s="34" customFormat="1" ht="12.6">
      <c r="A63" s="33"/>
      <c r="B63" s="34" t="s">
        <v>12</v>
      </c>
      <c r="C63" s="35">
        <v>86</v>
      </c>
      <c r="D63" s="35">
        <v>87</v>
      </c>
      <c r="E63" s="35">
        <v>86.5</v>
      </c>
      <c r="F63" s="35"/>
      <c r="G63" s="36">
        <v>-7.0000000000000007E-2</v>
      </c>
      <c r="H63" s="165">
        <v>2.5000000000000001E-2</v>
      </c>
      <c r="I63" s="37">
        <v>2.0499999999999998</v>
      </c>
      <c r="J63" s="166">
        <v>0.03</v>
      </c>
      <c r="K63" s="121">
        <v>55</v>
      </c>
      <c r="L63" s="121">
        <v>2</v>
      </c>
      <c r="M63" s="37"/>
      <c r="N63" s="38">
        <v>36.155683316050471</v>
      </c>
      <c r="O63" s="38">
        <v>103.68493751910701</v>
      </c>
      <c r="P63" s="39">
        <v>3.5070870589905851</v>
      </c>
      <c r="Q63" s="39">
        <f>P63*40.08/56.08</f>
        <v>2.506491607067451</v>
      </c>
      <c r="R63" s="40">
        <v>0.1</v>
      </c>
      <c r="S63" s="39">
        <v>4.1043323459186443</v>
      </c>
      <c r="T63" s="41">
        <v>2.5</v>
      </c>
      <c r="U63" s="42">
        <v>2.7589999999999999</v>
      </c>
      <c r="V63" s="38">
        <v>1837.8488027373558</v>
      </c>
      <c r="W63" s="38">
        <v>466.23963796116504</v>
      </c>
      <c r="X63" s="45">
        <v>31</v>
      </c>
      <c r="Y63" s="38">
        <v>373</v>
      </c>
      <c r="Z63" s="37"/>
      <c r="AA63" s="43">
        <v>35.695456936449794</v>
      </c>
      <c r="AB63" s="37">
        <v>-6.6806367677710921E-2</v>
      </c>
      <c r="AC63" s="44">
        <v>2.567393799238072E-2</v>
      </c>
      <c r="AD63" s="43">
        <v>103.26759415908712</v>
      </c>
      <c r="AE63" s="37">
        <v>2.0582848244408862</v>
      </c>
      <c r="AF63" s="44">
        <v>3.0242972648592392E-2</v>
      </c>
      <c r="AG63" s="45">
        <v>95.456668137386117</v>
      </c>
      <c r="AH63" s="45">
        <v>248.44036697784793</v>
      </c>
      <c r="AI63" s="42">
        <f t="shared" si="7"/>
        <v>2.8930178521860359</v>
      </c>
      <c r="AJ63" s="45"/>
      <c r="AK63" s="42">
        <v>10.309320158837703</v>
      </c>
      <c r="AL63" s="42">
        <v>29.564403670363905</v>
      </c>
      <c r="AM63" s="42">
        <v>2.8677355261898341</v>
      </c>
      <c r="AN63" s="42">
        <v>41.473975007642807</v>
      </c>
      <c r="AO63" s="42">
        <v>14.462273326420188</v>
      </c>
      <c r="AP63" s="42">
        <v>1.1702966812292248</v>
      </c>
      <c r="AQ63" s="199">
        <f t="shared" si="8"/>
        <v>524.03854589977811</v>
      </c>
      <c r="AR63" s="147">
        <f t="shared" si="9"/>
        <v>8.8392445007973262</v>
      </c>
      <c r="AS63" s="199">
        <f t="shared" si="10"/>
        <v>106.35607092894848</v>
      </c>
      <c r="AT63" s="203"/>
      <c r="AU63" s="45"/>
      <c r="AV63" s="46">
        <v>1.0475957515725866E-2</v>
      </c>
      <c r="AW63" s="46">
        <v>2.2530614763275531E-3</v>
      </c>
      <c r="AX63" s="46">
        <v>0.98727098100794664</v>
      </c>
      <c r="AY63" s="46">
        <v>4.0251107827785669E-3</v>
      </c>
      <c r="AZ63" s="46">
        <v>0.99597488921722144</v>
      </c>
    </row>
    <row r="64" spans="1:55" s="34" customFormat="1" ht="12.6">
      <c r="A64" s="49"/>
      <c r="B64" s="34" t="s">
        <v>13</v>
      </c>
      <c r="C64" s="35">
        <v>87</v>
      </c>
      <c r="D64" s="35">
        <v>88</v>
      </c>
      <c r="E64" s="35">
        <v>87.5</v>
      </c>
      <c r="F64" s="35"/>
      <c r="G64" s="36">
        <v>-5.0533454620582674E-2</v>
      </c>
      <c r="H64" s="165">
        <v>0.03</v>
      </c>
      <c r="I64" s="37">
        <v>2.2400000000000002</v>
      </c>
      <c r="J64" s="166">
        <v>0.03</v>
      </c>
      <c r="K64" s="121">
        <v>43.886661420787149</v>
      </c>
      <c r="L64" s="121">
        <v>2</v>
      </c>
      <c r="M64" s="37"/>
      <c r="N64" s="38">
        <v>37.200000000000003</v>
      </c>
      <c r="O64" s="38">
        <v>115</v>
      </c>
      <c r="P64" s="39">
        <v>3.4</v>
      </c>
      <c r="Q64" s="38">
        <v>10</v>
      </c>
      <c r="R64" s="40">
        <v>0.11</v>
      </c>
      <c r="S64" s="48">
        <v>4</v>
      </c>
      <c r="T64" s="41">
        <v>4.3</v>
      </c>
      <c r="U64" s="42">
        <v>3.4033000000000002</v>
      </c>
      <c r="V64" s="38">
        <v>1700</v>
      </c>
      <c r="W64" s="38">
        <v>500</v>
      </c>
      <c r="X64" s="45">
        <v>41</v>
      </c>
      <c r="Y64" s="38">
        <v>385</v>
      </c>
      <c r="Z64" s="37"/>
      <c r="AA64" s="43">
        <v>36.507800000000003</v>
      </c>
      <c r="AB64" s="37">
        <v>-4.491326543603491E-2</v>
      </c>
      <c r="AC64" s="44">
        <v>3.1257489450309518E-2</v>
      </c>
      <c r="AD64" s="43">
        <v>114.5954</v>
      </c>
      <c r="AE64" s="37">
        <v>2.2479087293207232</v>
      </c>
      <c r="AF64" s="44">
        <v>3.0212214935564662E-2</v>
      </c>
      <c r="AG64" s="45">
        <v>101.30718954248367</v>
      </c>
      <c r="AH64" s="45">
        <v>284.23133959466134</v>
      </c>
      <c r="AI64" s="42">
        <f t="shared" si="7"/>
        <v>3.1389292151266304</v>
      </c>
      <c r="AJ64" s="45"/>
      <c r="AK64" s="42">
        <v>10.941176470588237</v>
      </c>
      <c r="AL64" s="42">
        <v>33.82352941176471</v>
      </c>
      <c r="AM64" s="42">
        <v>3.0913978494623655</v>
      </c>
      <c r="AN64" s="42">
        <v>26.744186046511629</v>
      </c>
      <c r="AO64" s="42">
        <v>8.6511627906976756</v>
      </c>
      <c r="AP64" s="42">
        <v>1.1764705882352942</v>
      </c>
      <c r="AQ64" s="199">
        <f t="shared" si="8"/>
        <v>500</v>
      </c>
      <c r="AR64" s="147">
        <f t="shared" si="9"/>
        <v>12.058823529411764</v>
      </c>
      <c r="AS64" s="199">
        <f t="shared" si="10"/>
        <v>113.23529411764706</v>
      </c>
      <c r="AT64" s="203"/>
      <c r="AU64" s="45"/>
      <c r="AV64" s="46">
        <v>9.8709677419354831E-3</v>
      </c>
      <c r="AW64" s="46">
        <v>8.7365591397849454E-3</v>
      </c>
      <c r="AX64" s="46">
        <v>0.9813924731182796</v>
      </c>
      <c r="AY64" s="46">
        <v>3.5182608695652176E-3</v>
      </c>
      <c r="AZ64" s="46">
        <v>0.99648173913043481</v>
      </c>
    </row>
    <row r="65" spans="1:55" s="34" customFormat="1" ht="12.6">
      <c r="A65" s="49"/>
      <c r="B65" s="34" t="s">
        <v>14</v>
      </c>
      <c r="C65" s="35">
        <v>90</v>
      </c>
      <c r="D65" s="35">
        <v>91</v>
      </c>
      <c r="E65" s="35">
        <v>90.5</v>
      </c>
      <c r="F65" s="35"/>
      <c r="G65" s="37">
        <v>-0.13080091008421699</v>
      </c>
      <c r="H65" s="166">
        <v>2.5000000000000001E-2</v>
      </c>
      <c r="I65" s="37">
        <v>2.19</v>
      </c>
      <c r="J65" s="166">
        <v>0.03</v>
      </c>
      <c r="K65" s="122">
        <v>47.06910340149652</v>
      </c>
      <c r="L65" s="121">
        <v>2</v>
      </c>
      <c r="M65" s="37"/>
      <c r="N65" s="38">
        <v>33.5</v>
      </c>
      <c r="O65" s="38">
        <v>140</v>
      </c>
      <c r="P65" s="39">
        <v>3.6</v>
      </c>
      <c r="Q65" s="39">
        <v>9.8000000000000007</v>
      </c>
      <c r="R65" s="40">
        <v>0.1</v>
      </c>
      <c r="S65" s="47">
        <v>4.2</v>
      </c>
      <c r="T65" s="41">
        <v>3</v>
      </c>
      <c r="U65" s="42">
        <v>2.8043</v>
      </c>
      <c r="V65" s="47">
        <v>1750</v>
      </c>
      <c r="W65" s="38">
        <v>500</v>
      </c>
      <c r="X65" s="45">
        <v>31</v>
      </c>
      <c r="Y65" s="38">
        <v>247</v>
      </c>
      <c r="Z65" s="37"/>
      <c r="AA65" s="43">
        <v>32.792699999999996</v>
      </c>
      <c r="AB65" s="37">
        <v>-0.12618023181443641</v>
      </c>
      <c r="AC65" s="44">
        <v>2.6236674262745226E-2</v>
      </c>
      <c r="AD65" s="43">
        <v>139.57160000000002</v>
      </c>
      <c r="AE65" s="37">
        <v>2.1967219692258309</v>
      </c>
      <c r="AF65" s="44">
        <v>3.018444617551393E-2</v>
      </c>
      <c r="AG65" s="45">
        <v>86.16255144032921</v>
      </c>
      <c r="AH65" s="45">
        <v>326.79738562091501</v>
      </c>
      <c r="AI65" s="42">
        <f t="shared" si="7"/>
        <v>4.2561789666602641</v>
      </c>
      <c r="AJ65" s="45"/>
      <c r="AK65" s="42">
        <v>9.3055555555555554</v>
      </c>
      <c r="AL65" s="42">
        <v>38.888888888888886</v>
      </c>
      <c r="AM65" s="42">
        <v>4.1791044776119399</v>
      </c>
      <c r="AN65" s="42">
        <v>46.666666666666664</v>
      </c>
      <c r="AO65" s="42">
        <v>11.166666666666666</v>
      </c>
      <c r="AP65" s="42">
        <v>1.1666666666666667</v>
      </c>
      <c r="AQ65" s="199">
        <f t="shared" si="8"/>
        <v>486.11111111111109</v>
      </c>
      <c r="AR65" s="147">
        <f t="shared" si="9"/>
        <v>8.6111111111111107</v>
      </c>
      <c r="AS65" s="199">
        <f t="shared" si="10"/>
        <v>68.611111111111114</v>
      </c>
      <c r="AT65" s="203"/>
      <c r="AU65" s="45"/>
      <c r="AV65" s="46">
        <v>1.1605970149253735E-2</v>
      </c>
      <c r="AW65" s="46">
        <v>9.5074626865671637E-3</v>
      </c>
      <c r="AX65" s="46">
        <v>0.9788865671641791</v>
      </c>
      <c r="AY65" s="46">
        <v>3.0600000000000002E-3</v>
      </c>
      <c r="AZ65" s="46">
        <v>0.99694000000000005</v>
      </c>
    </row>
    <row r="66" spans="1:55" s="34" customFormat="1" ht="12.6">
      <c r="A66" s="49"/>
      <c r="B66" s="34" t="s">
        <v>15</v>
      </c>
      <c r="C66" s="35">
        <v>93</v>
      </c>
      <c r="D66" s="35">
        <v>94</v>
      </c>
      <c r="E66" s="35">
        <v>93.5</v>
      </c>
      <c r="F66" s="35"/>
      <c r="G66" s="36">
        <v>6.9487655570688034E-2</v>
      </c>
      <c r="H66" s="165">
        <v>0.03</v>
      </c>
      <c r="I66" s="37">
        <v>1.98</v>
      </c>
      <c r="J66" s="166">
        <v>0.03</v>
      </c>
      <c r="K66" s="121">
        <v>39.195542040045851</v>
      </c>
      <c r="L66" s="121">
        <v>2</v>
      </c>
      <c r="M66" s="37"/>
      <c r="N66" s="38">
        <v>33.969391100015763</v>
      </c>
      <c r="O66" s="38">
        <v>150.17471676488699</v>
      </c>
      <c r="P66" s="39">
        <v>4.4775674793295419</v>
      </c>
      <c r="Q66" s="39">
        <f>P66*40.08/56.08</f>
        <v>3.2000874566962918</v>
      </c>
      <c r="R66" s="40">
        <v>8.5000000000000006E-2</v>
      </c>
      <c r="S66" s="39">
        <v>6.056355278197918</v>
      </c>
      <c r="T66" s="41">
        <v>4.3</v>
      </c>
      <c r="U66" s="42">
        <v>4.3167</v>
      </c>
      <c r="V66" s="38">
        <v>2408.605396610827</v>
      </c>
      <c r="W66" s="38">
        <v>442.97322233009709</v>
      </c>
      <c r="X66" s="45">
        <v>37</v>
      </c>
      <c r="Y66" s="38">
        <v>228</v>
      </c>
      <c r="Z66" s="37"/>
      <c r="AA66" s="43">
        <v>33.381810969905544</v>
      </c>
      <c r="AB66" s="37">
        <v>7.630286068864009E-2</v>
      </c>
      <c r="AC66" s="44">
        <v>3.1091144550229453E-2</v>
      </c>
      <c r="AD66" s="43">
        <v>149.64188623484677</v>
      </c>
      <c r="AE66" s="37">
        <v>1.9870501948085839</v>
      </c>
      <c r="AF66" s="44">
        <v>3.0214022625411931E-2</v>
      </c>
      <c r="AG66" s="45">
        <v>70.246043309506319</v>
      </c>
      <c r="AH66" s="45">
        <v>281.84330344875798</v>
      </c>
      <c r="AI66" s="42">
        <f t="shared" si="7"/>
        <v>4.4827372118832107</v>
      </c>
      <c r="AJ66" s="45"/>
      <c r="AK66" s="42">
        <v>7.5865726774266822</v>
      </c>
      <c r="AL66" s="42">
        <v>33.539353110402196</v>
      </c>
      <c r="AM66" s="42">
        <v>4.4208833865384563</v>
      </c>
      <c r="AN66" s="42">
        <v>34.924352736020232</v>
      </c>
      <c r="AO66" s="42">
        <v>7.8998583953525037</v>
      </c>
      <c r="AP66" s="42">
        <v>1.3525994429244825</v>
      </c>
      <c r="AQ66" s="199">
        <f t="shared" si="8"/>
        <v>537.92721332063195</v>
      </c>
      <c r="AR66" s="147">
        <f t="shared" si="9"/>
        <v>8.2634153858782877</v>
      </c>
      <c r="AS66" s="199">
        <f t="shared" si="10"/>
        <v>50.920505621087827</v>
      </c>
      <c r="AT66" s="203"/>
      <c r="AU66" s="45"/>
      <c r="AV66" s="46">
        <v>1.4235677240837153E-2</v>
      </c>
      <c r="AW66" s="46">
        <v>3.0616634262420213E-3</v>
      </c>
      <c r="AX66" s="46">
        <v>0.98270265933292078</v>
      </c>
      <c r="AY66" s="46">
        <v>3.5480708172362535E-3</v>
      </c>
      <c r="AZ66" s="46">
        <v>0.99645192918276371</v>
      </c>
    </row>
    <row r="67" spans="1:55" s="34" customFormat="1" ht="12.6">
      <c r="A67" s="49"/>
      <c r="B67" s="34" t="s">
        <v>16</v>
      </c>
      <c r="C67" s="35">
        <v>94</v>
      </c>
      <c r="D67" s="35">
        <v>95</v>
      </c>
      <c r="E67" s="35">
        <v>94.5</v>
      </c>
      <c r="F67" s="35"/>
      <c r="G67" s="37">
        <v>0.02</v>
      </c>
      <c r="H67" s="166">
        <v>2.5000000000000001E-2</v>
      </c>
      <c r="I67" s="37">
        <v>1.82</v>
      </c>
      <c r="J67" s="166">
        <v>0.03</v>
      </c>
      <c r="K67" s="122">
        <v>47.06910340149652</v>
      </c>
      <c r="L67" s="121">
        <v>2</v>
      </c>
      <c r="M67" s="37"/>
      <c r="N67" s="38">
        <v>18.202522877736119</v>
      </c>
      <c r="O67" s="38">
        <v>67.067754678840203</v>
      </c>
      <c r="P67" s="39">
        <v>5.5392962469164395</v>
      </c>
      <c r="Q67" s="39">
        <f>P67*40.08/56.08</f>
        <v>3.9588978883097519</v>
      </c>
      <c r="R67" s="40">
        <v>0.11</v>
      </c>
      <c r="S67" s="39">
        <v>4.0220679418999064</v>
      </c>
      <c r="T67" s="41">
        <v>2.5</v>
      </c>
      <c r="U67" s="42">
        <v>1.4083000000000001</v>
      </c>
      <c r="V67" s="38">
        <v>2800</v>
      </c>
      <c r="W67" s="38">
        <v>444.32659912621358</v>
      </c>
      <c r="X67" s="45">
        <v>10</v>
      </c>
      <c r="Y67" s="38">
        <v>194</v>
      </c>
      <c r="Z67" s="37"/>
      <c r="AA67" s="43">
        <v>17.475614701699076</v>
      </c>
      <c r="AB67" s="37">
        <v>3.4046832609841968E-2</v>
      </c>
      <c r="AC67" s="44">
        <v>2.7182945424091959E-2</v>
      </c>
      <c r="AD67" s="43">
        <v>66.408578425457151</v>
      </c>
      <c r="AE67" s="37">
        <v>1.8380654489164199</v>
      </c>
      <c r="AF67" s="44">
        <v>3.0598520056457433E-2</v>
      </c>
      <c r="AG67" s="45">
        <v>30.42658687759819</v>
      </c>
      <c r="AH67" s="45">
        <v>101.74479789681715</v>
      </c>
      <c r="AI67" s="42">
        <f t="shared" si="7"/>
        <v>3.8000711024488623</v>
      </c>
      <c r="AJ67" s="45"/>
      <c r="AK67" s="42">
        <v>3.2860713827806047</v>
      </c>
      <c r="AL67" s="42">
        <v>12.107630949721242</v>
      </c>
      <c r="AM67" s="42">
        <v>3.6845307174903845</v>
      </c>
      <c r="AN67" s="42">
        <v>26.82710187153608</v>
      </c>
      <c r="AO67" s="42">
        <v>7.2810091510944472</v>
      </c>
      <c r="AP67" s="42">
        <v>0.72609728070400126</v>
      </c>
      <c r="AQ67" s="199">
        <f t="shared" si="8"/>
        <v>505.47937412783733</v>
      </c>
      <c r="AR67" s="147">
        <f t="shared" si="9"/>
        <v>1.8052834790279904</v>
      </c>
      <c r="AS67" s="199">
        <f t="shared" si="10"/>
        <v>35.022499493143016</v>
      </c>
      <c r="AT67" s="203"/>
      <c r="AU67" s="45"/>
      <c r="AV67" s="46">
        <v>3.286599328484844E-2</v>
      </c>
      <c r="AW67" s="46">
        <v>7.0684806844791143E-3</v>
      </c>
      <c r="AX67" s="46">
        <v>0.96006552603067241</v>
      </c>
      <c r="AY67" s="46">
        <v>9.8285123236878779E-3</v>
      </c>
      <c r="AZ67" s="46">
        <v>0.99017148767631213</v>
      </c>
    </row>
    <row r="68" spans="1:55" s="34" customFormat="1" ht="12.6">
      <c r="A68" s="49"/>
      <c r="B68" s="34" t="s">
        <v>17</v>
      </c>
      <c r="C68" s="35">
        <v>96</v>
      </c>
      <c r="D68" s="35">
        <v>97</v>
      </c>
      <c r="E68" s="35">
        <v>96.5</v>
      </c>
      <c r="F68" s="35"/>
      <c r="G68" s="37">
        <v>0.11</v>
      </c>
      <c r="H68" s="166">
        <v>2.5000000000000001E-2</v>
      </c>
      <c r="I68" s="37">
        <v>1.53</v>
      </c>
      <c r="J68" s="166">
        <v>0.03</v>
      </c>
      <c r="K68" s="122">
        <v>55.151967827056509</v>
      </c>
      <c r="L68" s="122">
        <v>2</v>
      </c>
      <c r="M68" s="37"/>
      <c r="N68" s="38">
        <v>30.874543515828588</v>
      </c>
      <c r="O68" s="38">
        <v>95.156048997115803</v>
      </c>
      <c r="P68" s="39">
        <v>4.3359413785602205</v>
      </c>
      <c r="Q68" s="39">
        <f>P68*40.08/56.08</f>
        <v>3.0988682320380465</v>
      </c>
      <c r="R68" s="40">
        <v>8.7999999999999995E-2</v>
      </c>
      <c r="S68" s="39">
        <v>3.7030163329338026</v>
      </c>
      <c r="T68" s="42">
        <v>3.8</v>
      </c>
      <c r="U68" s="42">
        <v>1.3392999999999999</v>
      </c>
      <c r="V68" s="38">
        <v>1866.7922380452499</v>
      </c>
      <c r="W68" s="38">
        <v>397.93626563106795</v>
      </c>
      <c r="X68" s="45">
        <v>16</v>
      </c>
      <c r="Y68" s="38">
        <v>271</v>
      </c>
      <c r="Z68" s="37"/>
      <c r="AA68" s="43">
        <v>30.305548629402846</v>
      </c>
      <c r="AB68" s="37">
        <v>0.11803018708437328</v>
      </c>
      <c r="AC68" s="44">
        <v>2.596822055530025E-2</v>
      </c>
      <c r="AD68" s="43">
        <v>94.640071973067137</v>
      </c>
      <c r="AE68" s="37">
        <v>1.5383415495184654</v>
      </c>
      <c r="AF68" s="44">
        <v>3.032801131583843E-2</v>
      </c>
      <c r="AG68" s="45">
        <v>65.931565481465455</v>
      </c>
      <c r="AH68" s="45">
        <v>184.41915930764546</v>
      </c>
      <c r="AI68" s="42">
        <f t="shared" si="7"/>
        <v>3.1228628503113809</v>
      </c>
      <c r="AJ68" s="45"/>
      <c r="AK68" s="42">
        <v>7.1206090719982695</v>
      </c>
      <c r="AL68" s="42">
        <v>21.945879957609812</v>
      </c>
      <c r="AM68" s="42">
        <v>3.082022862891292</v>
      </c>
      <c r="AN68" s="42">
        <v>25.041065525556792</v>
      </c>
      <c r="AO68" s="42">
        <v>8.1248798725864706</v>
      </c>
      <c r="AP68" s="42">
        <v>0.85402822815916735</v>
      </c>
      <c r="AQ68" s="199">
        <f t="shared" si="8"/>
        <v>430.53908599316236</v>
      </c>
      <c r="AR68" s="147">
        <f t="shared" si="9"/>
        <v>3.6900867892528821</v>
      </c>
      <c r="AS68" s="199">
        <f t="shared" si="10"/>
        <v>62.500844992970691</v>
      </c>
      <c r="AT68" s="203"/>
      <c r="AU68" s="45"/>
      <c r="AV68" s="46">
        <v>1.5167241862035236E-2</v>
      </c>
      <c r="AW68" s="46">
        <v>3.2620147886430586E-3</v>
      </c>
      <c r="AX68" s="46">
        <v>0.98157074334932171</v>
      </c>
      <c r="AY68" s="46">
        <v>5.4224300975790375E-3</v>
      </c>
      <c r="AZ68" s="46">
        <v>0.99457756990242097</v>
      </c>
    </row>
    <row r="69" spans="1:55" s="34" customFormat="1" ht="12.6">
      <c r="A69" s="49"/>
      <c r="B69" s="34" t="s">
        <v>18</v>
      </c>
      <c r="C69" s="35">
        <v>97</v>
      </c>
      <c r="D69" s="35">
        <v>98</v>
      </c>
      <c r="E69" s="35">
        <v>97.5</v>
      </c>
      <c r="F69" s="35"/>
      <c r="G69" s="37">
        <v>0.105060875249641</v>
      </c>
      <c r="H69" s="166">
        <v>2.5000000000000001E-2</v>
      </c>
      <c r="I69" s="37">
        <v>1.31</v>
      </c>
      <c r="J69" s="166">
        <v>0.03</v>
      </c>
      <c r="K69" s="122">
        <v>79.478947349163803</v>
      </c>
      <c r="L69" s="122">
        <v>2</v>
      </c>
      <c r="M69" s="37"/>
      <c r="N69" s="38">
        <v>26.627234487005765</v>
      </c>
      <c r="O69" s="38">
        <v>106.96604432310301</v>
      </c>
      <c r="P69" s="39">
        <v>4.1142970824617509</v>
      </c>
      <c r="Q69" s="39">
        <f>P69*40.08/56.08</f>
        <v>2.9404605396766574</v>
      </c>
      <c r="R69" s="40">
        <v>0.1</v>
      </c>
      <c r="S69" s="39">
        <v>3.2879617676208928</v>
      </c>
      <c r="T69" s="42">
        <v>2.9</v>
      </c>
      <c r="U69" s="42">
        <v>0.64929999999999999</v>
      </c>
      <c r="V69" s="38">
        <v>1575.6203162044135</v>
      </c>
      <c r="W69" s="38">
        <v>354.02980669902911</v>
      </c>
      <c r="X69" s="45">
        <v>18</v>
      </c>
      <c r="Y69" s="38">
        <v>240</v>
      </c>
      <c r="Z69" s="37"/>
      <c r="AA69" s="43">
        <v>26.087325434560405</v>
      </c>
      <c r="AB69" s="37">
        <v>0.11381043183662184</v>
      </c>
      <c r="AC69" s="44">
        <v>2.6068596709380863E-2</v>
      </c>
      <c r="AD69" s="43">
        <v>106.47644297029007</v>
      </c>
      <c r="AE69" s="37">
        <v>1.3160236588891678</v>
      </c>
      <c r="AF69" s="44">
        <v>3.0276527080403806E-2</v>
      </c>
      <c r="AG69" s="45">
        <v>59.924809154703937</v>
      </c>
      <c r="AH69" s="45">
        <v>218.47579404865178</v>
      </c>
      <c r="AI69" s="42">
        <f t="shared" si="7"/>
        <v>4.0815392607948384</v>
      </c>
      <c r="AJ69" s="45"/>
      <c r="AK69" s="42">
        <v>6.4718793887080244</v>
      </c>
      <c r="AL69" s="42">
        <v>25.998619491789562</v>
      </c>
      <c r="AM69" s="42">
        <v>4.0171668738374997</v>
      </c>
      <c r="AN69" s="42">
        <v>36.88484287003552</v>
      </c>
      <c r="AO69" s="42">
        <v>9.1818049955192294</v>
      </c>
      <c r="AP69" s="42">
        <v>0.79915516593020841</v>
      </c>
      <c r="AQ69" s="199">
        <f t="shared" si="8"/>
        <v>382.96221313742757</v>
      </c>
      <c r="AR69" s="147">
        <f t="shared" si="9"/>
        <v>4.3749879114781542</v>
      </c>
      <c r="AS69" s="199">
        <f t="shared" si="10"/>
        <v>58.333172153042064</v>
      </c>
      <c r="AT69" s="203"/>
      <c r="AU69" s="45"/>
      <c r="AV69" s="46">
        <v>1.6687579219791356E-2</v>
      </c>
      <c r="AW69" s="46">
        <v>3.5889933513796783E-3</v>
      </c>
      <c r="AX69" s="46">
        <v>0.97972342742882901</v>
      </c>
      <c r="AY69" s="46">
        <v>4.5771661082843473E-3</v>
      </c>
      <c r="AZ69" s="46">
        <v>0.99542283389171571</v>
      </c>
    </row>
    <row r="70" spans="1:55" s="34" customFormat="1" ht="12.6">
      <c r="A70" s="45"/>
      <c r="B70" s="34" t="s">
        <v>19</v>
      </c>
      <c r="C70" s="35">
        <v>101</v>
      </c>
      <c r="D70" s="35">
        <v>102</v>
      </c>
      <c r="E70" s="35">
        <v>101.5</v>
      </c>
      <c r="F70" s="35"/>
      <c r="G70" s="37">
        <v>8.0911304354391894E-2</v>
      </c>
      <c r="H70" s="166">
        <v>2.5000000000000001E-2</v>
      </c>
      <c r="I70" s="37">
        <v>1.25</v>
      </c>
      <c r="J70" s="166">
        <v>0.03</v>
      </c>
      <c r="K70" s="122">
        <v>107.51194049497391</v>
      </c>
      <c r="L70" s="122">
        <v>2</v>
      </c>
      <c r="M70" s="37"/>
      <c r="N70" s="38">
        <v>12.970069310407176</v>
      </c>
      <c r="O70" s="38">
        <v>24.554124872289197</v>
      </c>
      <c r="P70" s="39">
        <v>5.8293665675362902</v>
      </c>
      <c r="Q70" s="39">
        <f>P70*40.08/56.08</f>
        <v>4.1662092016200871</v>
      </c>
      <c r="R70" s="40">
        <v>7.8E-2</v>
      </c>
      <c r="S70" s="39">
        <v>3.9737418186517171</v>
      </c>
      <c r="T70" s="42">
        <v>2</v>
      </c>
      <c r="U70" s="42">
        <v>1.0872999999999999</v>
      </c>
      <c r="V70" s="38">
        <v>677.09695309466917</v>
      </c>
      <c r="W70" s="38">
        <v>561.40025533980577</v>
      </c>
      <c r="X70" s="45">
        <v>23</v>
      </c>
      <c r="Y70" s="38">
        <v>341</v>
      </c>
      <c r="Z70" s="37"/>
      <c r="AA70" s="43">
        <v>12.205095922060604</v>
      </c>
      <c r="AB70" s="37">
        <v>0.10589490079672739</v>
      </c>
      <c r="AC70" s="44">
        <v>2.830941158009935E-2</v>
      </c>
      <c r="AD70" s="43">
        <v>23.86043025075238</v>
      </c>
      <c r="AE70" s="37">
        <v>1.2863412674376935</v>
      </c>
      <c r="AF70" s="44">
        <v>3.1769738041213656E-2</v>
      </c>
      <c r="AG70" s="45">
        <v>20.601420920142601</v>
      </c>
      <c r="AH70" s="45">
        <v>35.396158640947405</v>
      </c>
      <c r="AI70" s="42">
        <f t="shared" si="7"/>
        <v>1.9549563889641262</v>
      </c>
      <c r="AJ70" s="45"/>
      <c r="AK70" s="42">
        <v>2.224953459375401</v>
      </c>
      <c r="AL70" s="42">
        <v>4.2121428782727408</v>
      </c>
      <c r="AM70" s="42">
        <v>1.8931375218316668</v>
      </c>
      <c r="AN70" s="42">
        <v>12.277062436144599</v>
      </c>
      <c r="AO70" s="42">
        <v>6.485034655203588</v>
      </c>
      <c r="AP70" s="42">
        <v>0.68167643475733075</v>
      </c>
      <c r="AQ70" s="199">
        <f t="shared" si="8"/>
        <v>116.15274923100878</v>
      </c>
      <c r="AR70" s="147">
        <f t="shared" si="9"/>
        <v>3.9455401772272944</v>
      </c>
      <c r="AS70" s="199">
        <f t="shared" si="10"/>
        <v>58.496921758022062</v>
      </c>
      <c r="AT70" s="203"/>
      <c r="AU70" s="45"/>
      <c r="AV70" s="46">
        <v>4.8540341167548844E-2</v>
      </c>
      <c r="AW70" s="46">
        <v>1.0439558633970177E-2</v>
      </c>
      <c r="AX70" s="46">
        <v>0.94102010019848104</v>
      </c>
      <c r="AY70" s="46">
        <v>2.8251653241353938E-2</v>
      </c>
      <c r="AZ70" s="46">
        <v>0.97174834675864608</v>
      </c>
    </row>
    <row r="71" spans="1:55" s="78" customFormat="1" ht="12.6">
      <c r="A71" s="90"/>
      <c r="B71" s="78" t="s">
        <v>20</v>
      </c>
      <c r="C71" s="79">
        <v>106</v>
      </c>
      <c r="D71" s="79">
        <v>107</v>
      </c>
      <c r="E71" s="79">
        <v>106.5</v>
      </c>
      <c r="F71" s="79"/>
      <c r="G71" s="81">
        <v>-0.30957822177468702</v>
      </c>
      <c r="H71" s="167">
        <v>2.5000000000000001E-2</v>
      </c>
      <c r="I71" s="81">
        <v>2.11</v>
      </c>
      <c r="J71" s="167">
        <v>0.03</v>
      </c>
      <c r="K71" s="120">
        <v>130.43180624380159</v>
      </c>
      <c r="L71" s="120">
        <v>2</v>
      </c>
      <c r="M71" s="81"/>
      <c r="N71" s="92">
        <v>6.5</v>
      </c>
      <c r="O71" s="93">
        <v>5.9</v>
      </c>
      <c r="P71" s="92">
        <v>6</v>
      </c>
      <c r="Q71" s="92">
        <v>8</v>
      </c>
      <c r="R71" s="94">
        <v>0.1</v>
      </c>
      <c r="S71" s="92">
        <v>3</v>
      </c>
      <c r="T71" s="87">
        <v>0.6</v>
      </c>
      <c r="U71" s="87">
        <v>1.1373</v>
      </c>
      <c r="V71" s="93">
        <v>180</v>
      </c>
      <c r="W71" s="93">
        <v>800</v>
      </c>
      <c r="X71" s="90">
        <v>5</v>
      </c>
      <c r="Y71" s="93">
        <v>166</v>
      </c>
      <c r="Z71" s="81"/>
      <c r="AA71" s="88">
        <v>5.5920000000000005</v>
      </c>
      <c r="AB71" s="81">
        <v>-0.30648398453781572</v>
      </c>
      <c r="AC71" s="89">
        <v>1.9671763049877288E-2</v>
      </c>
      <c r="AD71" s="88">
        <v>5.1860000000000008</v>
      </c>
      <c r="AE71" s="81">
        <v>2.4005013497878904</v>
      </c>
      <c r="AF71" s="89">
        <v>3.8829361853957571E-2</v>
      </c>
      <c r="AG71" s="90">
        <f>(N71/(P71*10000)*1000000)/$AX$16</f>
        <v>9.1036414565826327</v>
      </c>
      <c r="AH71" s="90">
        <f>(O71/(P71*10000)*1000000)/$AV$16</f>
        <v>9.1049382716049383</v>
      </c>
      <c r="AI71" s="87">
        <f t="shared" si="7"/>
        <v>0.92739628040057231</v>
      </c>
      <c r="AJ71" s="90"/>
      <c r="AK71" s="87">
        <v>1.0833333333333333</v>
      </c>
      <c r="AL71" s="87">
        <v>0.98333333333333339</v>
      </c>
      <c r="AM71" s="87">
        <v>0.9076923076923078</v>
      </c>
      <c r="AN71" s="87">
        <v>5.1877253143409838</v>
      </c>
      <c r="AO71" s="87">
        <v>10.833333333333334</v>
      </c>
      <c r="AP71" s="87">
        <v>0.5</v>
      </c>
      <c r="AQ71" s="189">
        <f t="shared" si="8"/>
        <v>30</v>
      </c>
      <c r="AR71" s="154">
        <f t="shared" si="9"/>
        <v>0.83333333333333337</v>
      </c>
      <c r="AS71" s="189">
        <f t="shared" si="10"/>
        <v>27.666666666666668</v>
      </c>
      <c r="AT71" s="139"/>
      <c r="AU71" s="90"/>
      <c r="AV71" s="91">
        <v>9.9692307692307691E-2</v>
      </c>
      <c r="AW71" s="91">
        <v>0.04</v>
      </c>
      <c r="AX71" s="91">
        <v>0.86030769230769233</v>
      </c>
      <c r="AY71" s="91">
        <v>0.12101694915254237</v>
      </c>
      <c r="AZ71" s="91">
        <v>0.87898305084745765</v>
      </c>
    </row>
    <row r="72" spans="1:55" s="78" customFormat="1" ht="12.6">
      <c r="A72" s="90"/>
      <c r="B72" s="78" t="s">
        <v>21</v>
      </c>
      <c r="C72" s="79">
        <v>107</v>
      </c>
      <c r="D72" s="79">
        <v>108</v>
      </c>
      <c r="E72" s="79">
        <v>107.5</v>
      </c>
      <c r="F72" s="79"/>
      <c r="G72" s="81">
        <v>-0.21689144790537601</v>
      </c>
      <c r="H72" s="167">
        <v>2.5000000000000001E-2</v>
      </c>
      <c r="I72" s="81">
        <v>1.8900000000000001</v>
      </c>
      <c r="J72" s="167">
        <v>0.03</v>
      </c>
      <c r="K72" s="120">
        <v>179.8676149950854</v>
      </c>
      <c r="L72" s="120">
        <v>2</v>
      </c>
      <c r="M72" s="81"/>
      <c r="N72" s="92">
        <v>5.3182240283378119</v>
      </c>
      <c r="O72" s="92">
        <v>5.6622736385343302</v>
      </c>
      <c r="P72" s="92">
        <v>3.3853610537559833</v>
      </c>
      <c r="Q72" s="92">
        <f>P72*40.08/56.08</f>
        <v>2.4194948472635485</v>
      </c>
      <c r="R72" s="94">
        <v>0.12</v>
      </c>
      <c r="S72" s="92">
        <v>2.3884542924486953</v>
      </c>
      <c r="T72" s="87">
        <v>0.4</v>
      </c>
      <c r="U72" s="87">
        <v>1.0607</v>
      </c>
      <c r="V72" s="93">
        <v>175.78882759218268</v>
      </c>
      <c r="W72" s="93">
        <v>1089.4962553398059</v>
      </c>
      <c r="X72" s="90">
        <v>9</v>
      </c>
      <c r="Y72" s="93">
        <v>86</v>
      </c>
      <c r="Z72" s="81"/>
      <c r="AA72" s="88">
        <v>4.8739714519961002</v>
      </c>
      <c r="AB72" s="81">
        <v>-0.20770293560513853</v>
      </c>
      <c r="AC72" s="89">
        <v>3.0294642186435461E-2</v>
      </c>
      <c r="AD72" s="88">
        <v>5.2594156731373687</v>
      </c>
      <c r="AE72" s="81">
        <v>2.0347692294961854</v>
      </c>
      <c r="AF72" s="89">
        <v>3.477186375497187E-2</v>
      </c>
      <c r="AG72" s="90">
        <f>(N72/(P72*10000)*1000000)/$AX$16</f>
        <v>13.201238364735874</v>
      </c>
      <c r="AH72" s="90">
        <f>(O72/(P72*10000)*1000000)/$AV$16</f>
        <v>15.48681478387376</v>
      </c>
      <c r="AI72" s="87">
        <f t="shared" si="7"/>
        <v>1.0790821663478174</v>
      </c>
      <c r="AJ72" s="90"/>
      <c r="AK72" s="87">
        <v>1.5709473654035691</v>
      </c>
      <c r="AL72" s="87">
        <v>1.672575996658366</v>
      </c>
      <c r="AM72" s="87">
        <v>1.0646925756348873</v>
      </c>
      <c r="AN72" s="87">
        <v>5.3382423291546433</v>
      </c>
      <c r="AO72" s="87">
        <v>13.295560070844529</v>
      </c>
      <c r="AP72" s="87">
        <v>0.70552424232527811</v>
      </c>
      <c r="AQ72" s="189">
        <f t="shared" si="8"/>
        <v>51.926168228688297</v>
      </c>
      <c r="AR72" s="154">
        <f t="shared" si="9"/>
        <v>2.65850521025363</v>
      </c>
      <c r="AS72" s="189">
        <f t="shared" si="10"/>
        <v>25.403494231312461</v>
      </c>
      <c r="AT72" s="139"/>
      <c r="AU72" s="90"/>
      <c r="AV72" s="91">
        <v>6.8748324977937966E-2</v>
      </c>
      <c r="AW72" s="91">
        <v>1.478568449111421E-2</v>
      </c>
      <c r="AX72" s="91">
        <v>0.91646599053094779</v>
      </c>
      <c r="AY72" s="91">
        <v>7.1147738720243325E-2</v>
      </c>
      <c r="AZ72" s="91">
        <v>0.92885226127975673</v>
      </c>
    </row>
    <row r="73" spans="1:55" s="78" customFormat="1" ht="12.6">
      <c r="A73" s="90"/>
      <c r="B73" s="78" t="s">
        <v>22</v>
      </c>
      <c r="C73" s="79">
        <v>108</v>
      </c>
      <c r="D73" s="79">
        <v>109</v>
      </c>
      <c r="E73" s="79">
        <v>108.5</v>
      </c>
      <c r="F73" s="79"/>
      <c r="G73" s="81">
        <v>-0.27944418760206302</v>
      </c>
      <c r="H73" s="167">
        <v>2.5000000000000001E-2</v>
      </c>
      <c r="I73" s="81">
        <v>1.76</v>
      </c>
      <c r="J73" s="167">
        <v>0.03</v>
      </c>
      <c r="K73" s="120">
        <v>168.0369161357506</v>
      </c>
      <c r="L73" s="120">
        <v>2</v>
      </c>
      <c r="M73" s="81"/>
      <c r="N73" s="92">
        <v>5.3589461052796832</v>
      </c>
      <c r="O73" s="92">
        <v>2.67171718465984</v>
      </c>
      <c r="P73" s="92">
        <v>3.6351641445821894</v>
      </c>
      <c r="Q73" s="92">
        <f>P73*40.08/56.08</f>
        <v>2.5980274414203666</v>
      </c>
      <c r="R73" s="94">
        <v>0.127</v>
      </c>
      <c r="S73" s="92">
        <v>2.3692401557348091</v>
      </c>
      <c r="T73" s="87">
        <v>0.3</v>
      </c>
      <c r="U73" s="87">
        <v>0.57930000000000004</v>
      </c>
      <c r="V73" s="93">
        <v>180.23956971617113</v>
      </c>
      <c r="W73" s="93">
        <v>1117.411045631068</v>
      </c>
      <c r="X73" s="90">
        <v>5</v>
      </c>
      <c r="Y73" s="93">
        <v>79</v>
      </c>
      <c r="Z73" s="81"/>
      <c r="AA73" s="88">
        <v>4.8819124858186447</v>
      </c>
      <c r="AB73" s="81">
        <v>-0.27570602088424934</v>
      </c>
      <c r="AC73" s="89">
        <v>3.2433470071085622E-2</v>
      </c>
      <c r="AD73" s="88">
        <v>2.2391326514545593</v>
      </c>
      <c r="AE73" s="81">
        <v>2.1000195061899145</v>
      </c>
      <c r="AF73" s="89">
        <v>4.2711278987391514E-2</v>
      </c>
      <c r="AG73" s="90">
        <f>(N73/(P73*10000)*1000000)/$AX$16</f>
        <v>12.388205527303551</v>
      </c>
      <c r="AH73" s="90">
        <f>(O73/(P73*10000)*1000000)/$AV$16</f>
        <v>6.8052283463053902</v>
      </c>
      <c r="AI73" s="87">
        <f t="shared" si="7"/>
        <v>0.4586589083599848</v>
      </c>
      <c r="AJ73" s="90"/>
      <c r="AK73" s="87">
        <v>1.4741964577491227</v>
      </c>
      <c r="AL73" s="87">
        <v>0.73496466140098227</v>
      </c>
      <c r="AM73" s="87">
        <v>0.49855272513892973</v>
      </c>
      <c r="AN73" s="87">
        <v>4.6119751159327462</v>
      </c>
      <c r="AO73" s="87">
        <v>17.863153684265612</v>
      </c>
      <c r="AP73" s="87">
        <v>0.65175603122788828</v>
      </c>
      <c r="AQ73" s="189">
        <f t="shared" si="8"/>
        <v>49.582236880499138</v>
      </c>
      <c r="AR73" s="154">
        <f t="shared" si="9"/>
        <v>1.3754537074899211</v>
      </c>
      <c r="AS73" s="189">
        <f t="shared" si="10"/>
        <v>21.732168578340755</v>
      </c>
      <c r="AT73" s="139"/>
      <c r="AU73" s="90"/>
      <c r="AV73" s="91">
        <v>7.3260249291942983E-2</v>
      </c>
      <c r="AW73" s="91">
        <v>1.5756062887621672E-2</v>
      </c>
      <c r="AX73" s="91">
        <v>0.91098368782043537</v>
      </c>
      <c r="AY73" s="91">
        <v>0.16191254661572899</v>
      </c>
      <c r="AZ73" s="91">
        <v>0.83808745338427104</v>
      </c>
    </row>
    <row r="74" spans="1:55" s="96" customFormat="1" ht="12.6">
      <c r="A74" s="95"/>
      <c r="B74" s="96" t="s">
        <v>23</v>
      </c>
      <c r="C74" s="97">
        <v>109</v>
      </c>
      <c r="D74" s="97">
        <v>110</v>
      </c>
      <c r="E74" s="97">
        <v>109.5</v>
      </c>
      <c r="F74" s="97"/>
      <c r="G74" s="98">
        <v>-0.331829481414192</v>
      </c>
      <c r="H74" s="168">
        <v>2.5000000000000001E-2</v>
      </c>
      <c r="I74" s="98">
        <v>1.6300000000000001</v>
      </c>
      <c r="J74" s="168">
        <v>0.03</v>
      </c>
      <c r="K74" s="161">
        <v>167.86936878381817</v>
      </c>
      <c r="L74" s="161">
        <v>2</v>
      </c>
      <c r="M74" s="98"/>
      <c r="N74" s="100">
        <v>5.0137245181673995</v>
      </c>
      <c r="O74" s="100">
        <v>1.4430123726617601</v>
      </c>
      <c r="P74" s="100">
        <v>3.4514856763389572</v>
      </c>
      <c r="Q74" s="100">
        <f>P74*40.08/56.08</f>
        <v>2.4667536716773428</v>
      </c>
      <c r="R74" s="102">
        <v>0.127</v>
      </c>
      <c r="S74" s="100">
        <v>2.1882383426554508</v>
      </c>
      <c r="T74" s="103">
        <v>0.3</v>
      </c>
      <c r="U74" s="103">
        <v>0.38100000000000001</v>
      </c>
      <c r="V74" s="101">
        <v>185.30490173455385</v>
      </c>
      <c r="W74" s="101">
        <v>971.59751941747572</v>
      </c>
      <c r="X74" s="95">
        <v>4</v>
      </c>
      <c r="Y74" s="101">
        <v>74</v>
      </c>
      <c r="Z74" s="98"/>
      <c r="AA74" s="99">
        <v>4.560794570793278</v>
      </c>
      <c r="AB74" s="98">
        <v>-0.33323265268393221</v>
      </c>
      <c r="AC74" s="104">
        <v>2.8694285246374941E-2</v>
      </c>
      <c r="AD74" s="99">
        <v>1.0322855771774244</v>
      </c>
      <c r="AE74" s="98">
        <v>2.2785459948690145</v>
      </c>
      <c r="AF74" s="104">
        <v>5.8622136897139063E-2</v>
      </c>
      <c r="AG74" s="95">
        <f>(N74/(P74*10000)*1000000)/$AX$16</f>
        <v>12.206957455150039</v>
      </c>
      <c r="AH74" s="95">
        <f>(O74/(P74*10000)*1000000)/$AV$16</f>
        <v>3.8711519982219733</v>
      </c>
      <c r="AI74" s="103">
        <f t="shared" si="7"/>
        <v>0.22633897693793181</v>
      </c>
      <c r="AJ74" s="95"/>
      <c r="AK74" s="103">
        <v>1.4526279371628545</v>
      </c>
      <c r="AL74" s="103">
        <v>0.41808441580797318</v>
      </c>
      <c r="AM74" s="103">
        <v>0.2878124570731711</v>
      </c>
      <c r="AN74" s="103">
        <v>3.7874340489809977</v>
      </c>
      <c r="AO74" s="103">
        <v>16.712415060557998</v>
      </c>
      <c r="AP74" s="103">
        <v>0.6339989638828657</v>
      </c>
      <c r="AQ74" s="198">
        <f t="shared" si="8"/>
        <v>53.688445820557355</v>
      </c>
      <c r="AR74" s="158">
        <f t="shared" si="9"/>
        <v>1.1589212226553003</v>
      </c>
      <c r="AS74" s="198">
        <f t="shared" si="10"/>
        <v>21.440042619123055</v>
      </c>
      <c r="AT74" s="140"/>
      <c r="AU74" s="95"/>
      <c r="AV74" s="105">
        <v>7.434801247932496E-2</v>
      </c>
      <c r="AW74" s="105">
        <v>1.5990007835296253E-2</v>
      </c>
      <c r="AX74" s="105">
        <v>0.90966197968537876</v>
      </c>
      <c r="AY74" s="105">
        <v>0.28463151339909515</v>
      </c>
      <c r="AZ74" s="105">
        <v>0.71536848660090491</v>
      </c>
    </row>
    <row r="75" spans="1:55" ht="12.6">
      <c r="A75" s="1" t="s">
        <v>67</v>
      </c>
      <c r="N75" s="3"/>
      <c r="O75" s="3"/>
      <c r="Q75" s="2"/>
      <c r="R75" s="12"/>
      <c r="S75" s="12"/>
      <c r="T75" s="16"/>
      <c r="U75" s="16"/>
      <c r="V75" s="16"/>
      <c r="W75" s="16"/>
      <c r="X75" s="16"/>
      <c r="Y75" s="16"/>
      <c r="AA75" s="7"/>
      <c r="AB75" s="7"/>
      <c r="AC75" s="7"/>
      <c r="AD75" s="7"/>
      <c r="AE75" s="7"/>
      <c r="AF75" s="7"/>
      <c r="AV75" s="3"/>
      <c r="AX75" s="16"/>
      <c r="AZ75" s="3"/>
      <c r="BA75" s="3"/>
      <c r="BB75" s="3"/>
      <c r="BC75" s="3"/>
    </row>
    <row r="76" spans="1:55">
      <c r="A76" s="67" t="s">
        <v>236</v>
      </c>
      <c r="N76" s="3"/>
      <c r="O76" s="3"/>
      <c r="AA76" s="29"/>
      <c r="AB76" s="7"/>
      <c r="AC76" s="7"/>
      <c r="AD76" s="7"/>
      <c r="AE76" s="7"/>
      <c r="AF76" s="7"/>
      <c r="AG76" s="14"/>
      <c r="AH76" s="14"/>
      <c r="AI76" s="14"/>
      <c r="AJ76" s="14"/>
      <c r="AT76" s="141"/>
      <c r="AU76" s="14"/>
      <c r="AV76" s="3"/>
      <c r="AZ76" s="14"/>
      <c r="BA76" s="14"/>
      <c r="BB76" s="7"/>
      <c r="BC76" s="7"/>
    </row>
    <row r="77" spans="1:55">
      <c r="A77" s="65" t="s">
        <v>70</v>
      </c>
      <c r="N77" s="3"/>
      <c r="O77" s="3"/>
      <c r="AB77" s="7"/>
      <c r="AC77" s="7"/>
      <c r="AD77" s="7"/>
      <c r="AE77" s="7"/>
      <c r="AF77" s="7"/>
      <c r="AG77" s="14"/>
      <c r="AH77" s="14"/>
      <c r="AI77" s="14"/>
      <c r="AJ77" s="14"/>
      <c r="AT77" s="141"/>
      <c r="AU77" s="14"/>
      <c r="AV77" s="3"/>
      <c r="AZ77" s="15"/>
      <c r="BA77" s="14"/>
      <c r="BB77" s="7"/>
      <c r="BC77" s="15"/>
    </row>
    <row r="78" spans="1:55">
      <c r="A78" s="67" t="s">
        <v>235</v>
      </c>
      <c r="N78" s="3"/>
      <c r="O78" s="3"/>
      <c r="P78" s="64"/>
      <c r="AB78" s="7"/>
      <c r="AC78" s="7"/>
      <c r="AD78" s="7"/>
      <c r="AE78" s="7"/>
      <c r="AF78" s="7"/>
      <c r="AG78" s="14"/>
      <c r="AH78" s="19"/>
      <c r="AI78" s="19"/>
      <c r="AJ78" s="19"/>
      <c r="AT78" s="142"/>
      <c r="AU78" s="19"/>
      <c r="AV78" s="3"/>
      <c r="AZ78" s="15"/>
      <c r="BA78" s="15"/>
      <c r="BB78" s="11"/>
      <c r="BC78" s="29"/>
    </row>
    <row r="79" spans="1:55" s="169" customFormat="1">
      <c r="C79" s="170"/>
      <c r="D79" s="170"/>
      <c r="E79" s="170"/>
      <c r="F79" s="170"/>
      <c r="G79" s="170"/>
      <c r="H79" s="170"/>
      <c r="I79" s="170"/>
      <c r="J79" s="170"/>
      <c r="M79" s="170"/>
      <c r="P79" s="170"/>
      <c r="Q79" s="170"/>
      <c r="R79" s="170"/>
      <c r="S79" s="170"/>
      <c r="Z79" s="170"/>
      <c r="AA79" s="172"/>
      <c r="AB79" s="172"/>
      <c r="AC79" s="172"/>
      <c r="AD79" s="172"/>
      <c r="AE79" s="172"/>
      <c r="AF79" s="172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1"/>
      <c r="AU79" s="170"/>
      <c r="AW79" s="170"/>
      <c r="AX79" s="170"/>
      <c r="AY79" s="170"/>
    </row>
    <row r="80" spans="1:55" s="402" customFormat="1" ht="13.8">
      <c r="A80" s="396" t="s">
        <v>245</v>
      </c>
    </row>
    <row r="81" spans="1:1" s="394" customFormat="1" ht="13.8">
      <c r="A81" s="393" t="s">
        <v>237</v>
      </c>
    </row>
    <row r="82" spans="1:1" s="394" customFormat="1" ht="13.8">
      <c r="A82" s="395" t="s">
        <v>238</v>
      </c>
    </row>
  </sheetData>
  <pageMargins left="0.75" right="0.75" top="1" bottom="1" header="0.5" footer="0.5"/>
  <pageSetup paperSize="9" scale="125" orientation="portrait" horizontalDpi="4294967292" verticalDpi="4294967292" r:id="rId1"/>
  <colBreaks count="1" manualBreakCount="1">
    <brk id="3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E6DE-D1ED-E849-ADC0-303D61F1B72C}">
  <dimension ref="A1:V1505"/>
  <sheetViews>
    <sheetView workbookViewId="0">
      <selection activeCell="D3" sqref="D3"/>
    </sheetView>
  </sheetViews>
  <sheetFormatPr defaultColWidth="8.81640625" defaultRowHeight="12.6"/>
  <cols>
    <col min="1" max="1" width="8.81640625" style="247"/>
    <col min="2" max="2" width="14.1796875" style="247" bestFit="1" customWidth="1"/>
    <col min="3" max="3" width="15.453125" style="247" bestFit="1" customWidth="1"/>
    <col min="4" max="4" width="12.453125" style="304" bestFit="1" customWidth="1"/>
    <col min="5" max="5" width="6.6328125" style="304" customWidth="1"/>
    <col min="6" max="6" width="4.81640625" style="247" bestFit="1" customWidth="1"/>
    <col min="7" max="7" width="5.36328125" style="253" bestFit="1" customWidth="1"/>
    <col min="8" max="8" width="4.453125" style="266" bestFit="1" customWidth="1"/>
    <col min="9" max="9" width="8.81640625" style="247"/>
    <col min="10" max="10" width="8" style="247" bestFit="1" customWidth="1"/>
    <col min="11" max="11" width="8.81640625" style="247"/>
    <col min="12" max="12" width="8" style="247" bestFit="1" customWidth="1"/>
    <col min="13" max="14" width="8.81640625" style="247"/>
    <col min="15" max="15" width="5.6328125" style="266" bestFit="1" customWidth="1"/>
    <col min="16" max="16" width="9.1796875" style="266" customWidth="1"/>
    <col min="17" max="17" width="8.6328125" style="266" customWidth="1"/>
    <col min="18" max="19" width="9.1796875" style="266" customWidth="1"/>
    <col min="20" max="20" width="8.6328125" style="266" bestFit="1" customWidth="1"/>
    <col min="21" max="212" width="8.81640625" style="247"/>
    <col min="213" max="213" width="14.1796875" style="247" bestFit="1" customWidth="1"/>
    <col min="214" max="214" width="15.453125" style="247" bestFit="1" customWidth="1"/>
    <col min="215" max="215" width="12.453125" style="247" bestFit="1" customWidth="1"/>
    <col min="216" max="216" width="6" style="247" bestFit="1" customWidth="1"/>
    <col min="217" max="217" width="4.81640625" style="247" bestFit="1" customWidth="1"/>
    <col min="218" max="218" width="6.453125" style="247" bestFit="1" customWidth="1"/>
    <col min="219" max="219" width="5.36328125" style="247" bestFit="1" customWidth="1"/>
    <col min="220" max="220" width="5.6328125" style="247" bestFit="1" customWidth="1"/>
    <col min="221" max="221" width="8.81640625" style="247"/>
    <col min="222" max="222" width="10.1796875" style="247" bestFit="1" customWidth="1"/>
    <col min="223" max="223" width="8.81640625" style="247"/>
    <col min="224" max="224" width="9.1796875" style="247" customWidth="1"/>
    <col min="225" max="225" width="8.81640625" style="247"/>
    <col min="226" max="226" width="4.453125" style="247" bestFit="1" customWidth="1"/>
    <col min="227" max="227" width="8.81640625" style="247"/>
    <col min="228" max="228" width="9.81640625" style="247" bestFit="1" customWidth="1"/>
    <col min="229" max="229" width="8" style="247" bestFit="1" customWidth="1"/>
    <col min="230" max="230" width="8.6328125" style="247" customWidth="1"/>
    <col min="231" max="231" width="8.81640625" style="247"/>
    <col min="232" max="233" width="9.1796875" style="247" customWidth="1"/>
    <col min="234" max="234" width="8.81640625" style="247"/>
    <col min="235" max="235" width="9.1796875" style="247" customWidth="1"/>
    <col min="236" max="236" width="8.81640625" style="247"/>
    <col min="237" max="237" width="9.1796875" style="247" customWidth="1"/>
    <col min="238" max="238" width="8.81640625" style="247"/>
    <col min="239" max="239" width="9.1796875" style="247" customWidth="1"/>
    <col min="240" max="240" width="8.81640625" style="247"/>
    <col min="241" max="241" width="9.1796875" style="247" customWidth="1"/>
    <col min="242" max="242" width="8.81640625" style="247"/>
    <col min="243" max="243" width="9.1796875" style="247" customWidth="1"/>
    <col min="244" max="244" width="8.81640625" style="247"/>
    <col min="245" max="245" width="9.1796875" style="247" customWidth="1"/>
    <col min="246" max="246" width="8.81640625" style="247"/>
    <col min="247" max="247" width="9.1796875" style="247" customWidth="1"/>
    <col min="248" max="248" width="8.81640625" style="247"/>
    <col min="249" max="249" width="9.1796875" style="247" customWidth="1"/>
    <col min="250" max="250" width="8" style="247" bestFit="1" customWidth="1"/>
    <col min="251" max="251" width="8.6328125" style="247" bestFit="1" customWidth="1"/>
    <col min="252" max="252" width="5.1796875" style="247" bestFit="1" customWidth="1"/>
    <col min="253" max="253" width="5.6328125" style="247" bestFit="1" customWidth="1"/>
    <col min="254" max="254" width="6.1796875" style="247" bestFit="1" customWidth="1"/>
    <col min="255" max="255" width="4.81640625" style="247" bestFit="1" customWidth="1"/>
    <col min="256" max="256" width="9.1796875" style="247" customWidth="1"/>
    <col min="257" max="257" width="7" style="247" customWidth="1"/>
    <col min="258" max="258" width="8.81640625" style="247"/>
    <col min="259" max="259" width="4.453125" style="247" bestFit="1" customWidth="1"/>
    <col min="260" max="260" width="4.6328125" style="247" customWidth="1"/>
    <col min="261" max="261" width="8.81640625" style="247"/>
    <col min="262" max="262" width="5.453125" style="247" bestFit="1" customWidth="1"/>
    <col min="263" max="263" width="5.36328125" style="247" bestFit="1" customWidth="1"/>
    <col min="264" max="264" width="5" style="247" bestFit="1" customWidth="1"/>
    <col min="265" max="265" width="4.6328125" style="247" bestFit="1" customWidth="1"/>
    <col min="266" max="266" width="5.1796875" style="247" customWidth="1"/>
    <col min="267" max="267" width="8.6328125" style="247" bestFit="1" customWidth="1"/>
    <col min="268" max="268" width="9.453125" style="247" bestFit="1" customWidth="1"/>
    <col min="269" max="269" width="8.81640625" style="247"/>
    <col min="270" max="270" width="9.81640625" style="247" bestFit="1" customWidth="1"/>
    <col min="271" max="468" width="8.81640625" style="247"/>
    <col min="469" max="469" width="14.1796875" style="247" bestFit="1" customWidth="1"/>
    <col min="470" max="470" width="15.453125" style="247" bestFit="1" customWidth="1"/>
    <col min="471" max="471" width="12.453125" style="247" bestFit="1" customWidth="1"/>
    <col min="472" max="472" width="6" style="247" bestFit="1" customWidth="1"/>
    <col min="473" max="473" width="4.81640625" style="247" bestFit="1" customWidth="1"/>
    <col min="474" max="474" width="6.453125" style="247" bestFit="1" customWidth="1"/>
    <col min="475" max="475" width="5.36328125" style="247" bestFit="1" customWidth="1"/>
    <col min="476" max="476" width="5.6328125" style="247" bestFit="1" customWidth="1"/>
    <col min="477" max="477" width="8.81640625" style="247"/>
    <col min="478" max="478" width="10.1796875" style="247" bestFit="1" customWidth="1"/>
    <col min="479" max="479" width="8.81640625" style="247"/>
    <col min="480" max="480" width="9.1796875" style="247" customWidth="1"/>
    <col min="481" max="481" width="8.81640625" style="247"/>
    <col min="482" max="482" width="4.453125" style="247" bestFit="1" customWidth="1"/>
    <col min="483" max="483" width="8.81640625" style="247"/>
    <col min="484" max="484" width="9.81640625" style="247" bestFit="1" customWidth="1"/>
    <col min="485" max="485" width="8" style="247" bestFit="1" customWidth="1"/>
    <col min="486" max="486" width="8.6328125" style="247" customWidth="1"/>
    <col min="487" max="487" width="8.81640625" style="247"/>
    <col min="488" max="489" width="9.1796875" style="247" customWidth="1"/>
    <col min="490" max="490" width="8.81640625" style="247"/>
    <col min="491" max="491" width="9.1796875" style="247" customWidth="1"/>
    <col min="492" max="492" width="8.81640625" style="247"/>
    <col min="493" max="493" width="9.1796875" style="247" customWidth="1"/>
    <col min="494" max="494" width="8.81640625" style="247"/>
    <col min="495" max="495" width="9.1796875" style="247" customWidth="1"/>
    <col min="496" max="496" width="8.81640625" style="247"/>
    <col min="497" max="497" width="9.1796875" style="247" customWidth="1"/>
    <col min="498" max="498" width="8.81640625" style="247"/>
    <col min="499" max="499" width="9.1796875" style="247" customWidth="1"/>
    <col min="500" max="500" width="8.81640625" style="247"/>
    <col min="501" max="501" width="9.1796875" style="247" customWidth="1"/>
    <col min="502" max="502" width="8.81640625" style="247"/>
    <col min="503" max="503" width="9.1796875" style="247" customWidth="1"/>
    <col min="504" max="504" width="8.81640625" style="247"/>
    <col min="505" max="505" width="9.1796875" style="247" customWidth="1"/>
    <col min="506" max="506" width="8" style="247" bestFit="1" customWidth="1"/>
    <col min="507" max="507" width="8.6328125" style="247" bestFit="1" customWidth="1"/>
    <col min="508" max="508" width="5.1796875" style="247" bestFit="1" customWidth="1"/>
    <col min="509" max="509" width="5.6328125" style="247" bestFit="1" customWidth="1"/>
    <col min="510" max="510" width="6.1796875" style="247" bestFit="1" customWidth="1"/>
    <col min="511" max="511" width="4.81640625" style="247" bestFit="1" customWidth="1"/>
    <col min="512" max="512" width="9.1796875" style="247" customWidth="1"/>
    <col min="513" max="513" width="7" style="247" customWidth="1"/>
    <col min="514" max="514" width="8.81640625" style="247"/>
    <col min="515" max="515" width="4.453125" style="247" bestFit="1" customWidth="1"/>
    <col min="516" max="516" width="4.6328125" style="247" customWidth="1"/>
    <col min="517" max="517" width="8.81640625" style="247"/>
    <col min="518" max="518" width="5.453125" style="247" bestFit="1" customWidth="1"/>
    <col min="519" max="519" width="5.36328125" style="247" bestFit="1" customWidth="1"/>
    <col min="520" max="520" width="5" style="247" bestFit="1" customWidth="1"/>
    <col min="521" max="521" width="4.6328125" style="247" bestFit="1" customWidth="1"/>
    <col min="522" max="522" width="5.1796875" style="247" customWidth="1"/>
    <col min="523" max="523" width="8.6328125" style="247" bestFit="1" customWidth="1"/>
    <col min="524" max="524" width="9.453125" style="247" bestFit="1" customWidth="1"/>
    <col min="525" max="525" width="8.81640625" style="247"/>
    <col min="526" max="526" width="9.81640625" style="247" bestFit="1" customWidth="1"/>
    <col min="527" max="724" width="8.81640625" style="247"/>
    <col min="725" max="725" width="14.1796875" style="247" bestFit="1" customWidth="1"/>
    <col min="726" max="726" width="15.453125" style="247" bestFit="1" customWidth="1"/>
    <col min="727" max="727" width="12.453125" style="247" bestFit="1" customWidth="1"/>
    <col min="728" max="728" width="6" style="247" bestFit="1" customWidth="1"/>
    <col min="729" max="729" width="4.81640625" style="247" bestFit="1" customWidth="1"/>
    <col min="730" max="730" width="6.453125" style="247" bestFit="1" customWidth="1"/>
    <col min="731" max="731" width="5.36328125" style="247" bestFit="1" customWidth="1"/>
    <col min="732" max="732" width="5.6328125" style="247" bestFit="1" customWidth="1"/>
    <col min="733" max="733" width="8.81640625" style="247"/>
    <col min="734" max="734" width="10.1796875" style="247" bestFit="1" customWidth="1"/>
    <col min="735" max="735" width="8.81640625" style="247"/>
    <col min="736" max="736" width="9.1796875" style="247" customWidth="1"/>
    <col min="737" max="737" width="8.81640625" style="247"/>
    <col min="738" max="738" width="4.453125" style="247" bestFit="1" customWidth="1"/>
    <col min="739" max="739" width="8.81640625" style="247"/>
    <col min="740" max="740" width="9.81640625" style="247" bestFit="1" customWidth="1"/>
    <col min="741" max="741" width="8" style="247" bestFit="1" customWidth="1"/>
    <col min="742" max="742" width="8.6328125" style="247" customWidth="1"/>
    <col min="743" max="743" width="8.81640625" style="247"/>
    <col min="744" max="745" width="9.1796875" style="247" customWidth="1"/>
    <col min="746" max="746" width="8.81640625" style="247"/>
    <col min="747" max="747" width="9.1796875" style="247" customWidth="1"/>
    <col min="748" max="748" width="8.81640625" style="247"/>
    <col min="749" max="749" width="9.1796875" style="247" customWidth="1"/>
    <col min="750" max="750" width="8.81640625" style="247"/>
    <col min="751" max="751" width="9.1796875" style="247" customWidth="1"/>
    <col min="752" max="752" width="8.81640625" style="247"/>
    <col min="753" max="753" width="9.1796875" style="247" customWidth="1"/>
    <col min="754" max="754" width="8.81640625" style="247"/>
    <col min="755" max="755" width="9.1796875" style="247" customWidth="1"/>
    <col min="756" max="756" width="8.81640625" style="247"/>
    <col min="757" max="757" width="9.1796875" style="247" customWidth="1"/>
    <col min="758" max="758" width="8.81640625" style="247"/>
    <col min="759" max="759" width="9.1796875" style="247" customWidth="1"/>
    <col min="760" max="760" width="8.81640625" style="247"/>
    <col min="761" max="761" width="9.1796875" style="247" customWidth="1"/>
    <col min="762" max="762" width="8" style="247" bestFit="1" customWidth="1"/>
    <col min="763" max="763" width="8.6328125" style="247" bestFit="1" customWidth="1"/>
    <col min="764" max="764" width="5.1796875" style="247" bestFit="1" customWidth="1"/>
    <col min="765" max="765" width="5.6328125" style="247" bestFit="1" customWidth="1"/>
    <col min="766" max="766" width="6.1796875" style="247" bestFit="1" customWidth="1"/>
    <col min="767" max="767" width="4.81640625" style="247" bestFit="1" customWidth="1"/>
    <col min="768" max="768" width="9.1796875" style="247" customWidth="1"/>
    <col min="769" max="769" width="7" style="247" customWidth="1"/>
    <col min="770" max="770" width="8.81640625" style="247"/>
    <col min="771" max="771" width="4.453125" style="247" bestFit="1" customWidth="1"/>
    <col min="772" max="772" width="4.6328125" style="247" customWidth="1"/>
    <col min="773" max="773" width="8.81640625" style="247"/>
    <col min="774" max="774" width="5.453125" style="247" bestFit="1" customWidth="1"/>
    <col min="775" max="775" width="5.36328125" style="247" bestFit="1" customWidth="1"/>
    <col min="776" max="776" width="5" style="247" bestFit="1" customWidth="1"/>
    <col min="777" max="777" width="4.6328125" style="247" bestFit="1" customWidth="1"/>
    <col min="778" max="778" width="5.1796875" style="247" customWidth="1"/>
    <col min="779" max="779" width="8.6328125" style="247" bestFit="1" customWidth="1"/>
    <col min="780" max="780" width="9.453125" style="247" bestFit="1" customWidth="1"/>
    <col min="781" max="781" width="8.81640625" style="247"/>
    <col min="782" max="782" width="9.81640625" style="247" bestFit="1" customWidth="1"/>
    <col min="783" max="980" width="8.81640625" style="247"/>
    <col min="981" max="981" width="14.1796875" style="247" bestFit="1" customWidth="1"/>
    <col min="982" max="982" width="15.453125" style="247" bestFit="1" customWidth="1"/>
    <col min="983" max="983" width="12.453125" style="247" bestFit="1" customWidth="1"/>
    <col min="984" max="984" width="6" style="247" bestFit="1" customWidth="1"/>
    <col min="985" max="985" width="4.81640625" style="247" bestFit="1" customWidth="1"/>
    <col min="986" max="986" width="6.453125" style="247" bestFit="1" customWidth="1"/>
    <col min="987" max="987" width="5.36328125" style="247" bestFit="1" customWidth="1"/>
    <col min="988" max="988" width="5.6328125" style="247" bestFit="1" customWidth="1"/>
    <col min="989" max="989" width="8.81640625" style="247"/>
    <col min="990" max="990" width="10.1796875" style="247" bestFit="1" customWidth="1"/>
    <col min="991" max="991" width="8.81640625" style="247"/>
    <col min="992" max="992" width="9.1796875" style="247" customWidth="1"/>
    <col min="993" max="993" width="8.81640625" style="247"/>
    <col min="994" max="994" width="4.453125" style="247" bestFit="1" customWidth="1"/>
    <col min="995" max="995" width="8.81640625" style="247"/>
    <col min="996" max="996" width="9.81640625" style="247" bestFit="1" customWidth="1"/>
    <col min="997" max="997" width="8" style="247" bestFit="1" customWidth="1"/>
    <col min="998" max="998" width="8.6328125" style="247" customWidth="1"/>
    <col min="999" max="999" width="8.81640625" style="247"/>
    <col min="1000" max="1001" width="9.1796875" style="247" customWidth="1"/>
    <col min="1002" max="1002" width="8.81640625" style="247"/>
    <col min="1003" max="1003" width="9.1796875" style="247" customWidth="1"/>
    <col min="1004" max="1004" width="8.81640625" style="247"/>
    <col min="1005" max="1005" width="9.1796875" style="247" customWidth="1"/>
    <col min="1006" max="1006" width="8.81640625" style="247"/>
    <col min="1007" max="1007" width="9.1796875" style="247" customWidth="1"/>
    <col min="1008" max="1008" width="8.81640625" style="247"/>
    <col min="1009" max="1009" width="9.1796875" style="247" customWidth="1"/>
    <col min="1010" max="1010" width="8.81640625" style="247"/>
    <col min="1011" max="1011" width="9.1796875" style="247" customWidth="1"/>
    <col min="1012" max="1012" width="8.81640625" style="247"/>
    <col min="1013" max="1013" width="9.1796875" style="247" customWidth="1"/>
    <col min="1014" max="1014" width="8.81640625" style="247"/>
    <col min="1015" max="1015" width="9.1796875" style="247" customWidth="1"/>
    <col min="1016" max="1016" width="8.81640625" style="247"/>
    <col min="1017" max="1017" width="9.1796875" style="247" customWidth="1"/>
    <col min="1018" max="1018" width="8" style="247" bestFit="1" customWidth="1"/>
    <col min="1019" max="1019" width="8.6328125" style="247" bestFit="1" customWidth="1"/>
    <col min="1020" max="1020" width="5.1796875" style="247" bestFit="1" customWidth="1"/>
    <col min="1021" max="1021" width="5.6328125" style="247" bestFit="1" customWidth="1"/>
    <col min="1022" max="1022" width="6.1796875" style="247" bestFit="1" customWidth="1"/>
    <col min="1023" max="1023" width="4.81640625" style="247" bestFit="1" customWidth="1"/>
    <col min="1024" max="1024" width="9.1796875" style="247" customWidth="1"/>
    <col min="1025" max="1025" width="7" style="247" customWidth="1"/>
    <col min="1026" max="1026" width="8.81640625" style="247"/>
    <col min="1027" max="1027" width="4.453125" style="247" bestFit="1" customWidth="1"/>
    <col min="1028" max="1028" width="4.6328125" style="247" customWidth="1"/>
    <col min="1029" max="1029" width="8.81640625" style="247"/>
    <col min="1030" max="1030" width="5.453125" style="247" bestFit="1" customWidth="1"/>
    <col min="1031" max="1031" width="5.36328125" style="247" bestFit="1" customWidth="1"/>
    <col min="1032" max="1032" width="5" style="247" bestFit="1" customWidth="1"/>
    <col min="1033" max="1033" width="4.6328125" style="247" bestFit="1" customWidth="1"/>
    <col min="1034" max="1034" width="5.1796875" style="247" customWidth="1"/>
    <col min="1035" max="1035" width="8.6328125" style="247" bestFit="1" customWidth="1"/>
    <col min="1036" max="1036" width="9.453125" style="247" bestFit="1" customWidth="1"/>
    <col min="1037" max="1037" width="8.81640625" style="247"/>
    <col min="1038" max="1038" width="9.81640625" style="247" bestFit="1" customWidth="1"/>
    <col min="1039" max="1236" width="8.81640625" style="247"/>
    <col min="1237" max="1237" width="14.1796875" style="247" bestFit="1" customWidth="1"/>
    <col min="1238" max="1238" width="15.453125" style="247" bestFit="1" customWidth="1"/>
    <col min="1239" max="1239" width="12.453125" style="247" bestFit="1" customWidth="1"/>
    <col min="1240" max="1240" width="6" style="247" bestFit="1" customWidth="1"/>
    <col min="1241" max="1241" width="4.81640625" style="247" bestFit="1" customWidth="1"/>
    <col min="1242" max="1242" width="6.453125" style="247" bestFit="1" customWidth="1"/>
    <col min="1243" max="1243" width="5.36328125" style="247" bestFit="1" customWidth="1"/>
    <col min="1244" max="1244" width="5.6328125" style="247" bestFit="1" customWidth="1"/>
    <col min="1245" max="1245" width="8.81640625" style="247"/>
    <col min="1246" max="1246" width="10.1796875" style="247" bestFit="1" customWidth="1"/>
    <col min="1247" max="1247" width="8.81640625" style="247"/>
    <col min="1248" max="1248" width="9.1796875" style="247" customWidth="1"/>
    <col min="1249" max="1249" width="8.81640625" style="247"/>
    <col min="1250" max="1250" width="4.453125" style="247" bestFit="1" customWidth="1"/>
    <col min="1251" max="1251" width="8.81640625" style="247"/>
    <col min="1252" max="1252" width="9.81640625" style="247" bestFit="1" customWidth="1"/>
    <col min="1253" max="1253" width="8" style="247" bestFit="1" customWidth="1"/>
    <col min="1254" max="1254" width="8.6328125" style="247" customWidth="1"/>
    <col min="1255" max="1255" width="8.81640625" style="247"/>
    <col min="1256" max="1257" width="9.1796875" style="247" customWidth="1"/>
    <col min="1258" max="1258" width="8.81640625" style="247"/>
    <col min="1259" max="1259" width="9.1796875" style="247" customWidth="1"/>
    <col min="1260" max="1260" width="8.81640625" style="247"/>
    <col min="1261" max="1261" width="9.1796875" style="247" customWidth="1"/>
    <col min="1262" max="1262" width="8.81640625" style="247"/>
    <col min="1263" max="1263" width="9.1796875" style="247" customWidth="1"/>
    <col min="1264" max="1264" width="8.81640625" style="247"/>
    <col min="1265" max="1265" width="9.1796875" style="247" customWidth="1"/>
    <col min="1266" max="1266" width="8.81640625" style="247"/>
    <col min="1267" max="1267" width="9.1796875" style="247" customWidth="1"/>
    <col min="1268" max="1268" width="8.81640625" style="247"/>
    <col min="1269" max="1269" width="9.1796875" style="247" customWidth="1"/>
    <col min="1270" max="1270" width="8.81640625" style="247"/>
    <col min="1271" max="1271" width="9.1796875" style="247" customWidth="1"/>
    <col min="1272" max="1272" width="8.81640625" style="247"/>
    <col min="1273" max="1273" width="9.1796875" style="247" customWidth="1"/>
    <col min="1274" max="1274" width="8" style="247" bestFit="1" customWidth="1"/>
    <col min="1275" max="1275" width="8.6328125" style="247" bestFit="1" customWidth="1"/>
    <col min="1276" max="1276" width="5.1796875" style="247" bestFit="1" customWidth="1"/>
    <col min="1277" max="1277" width="5.6328125" style="247" bestFit="1" customWidth="1"/>
    <col min="1278" max="1278" width="6.1796875" style="247" bestFit="1" customWidth="1"/>
    <col min="1279" max="1279" width="4.81640625" style="247" bestFit="1" customWidth="1"/>
    <col min="1280" max="1280" width="9.1796875" style="247" customWidth="1"/>
    <col min="1281" max="1281" width="7" style="247" customWidth="1"/>
    <col min="1282" max="1282" width="8.81640625" style="247"/>
    <col min="1283" max="1283" width="4.453125" style="247" bestFit="1" customWidth="1"/>
    <col min="1284" max="1284" width="4.6328125" style="247" customWidth="1"/>
    <col min="1285" max="1285" width="8.81640625" style="247"/>
    <col min="1286" max="1286" width="5.453125" style="247" bestFit="1" customWidth="1"/>
    <col min="1287" max="1287" width="5.36328125" style="247" bestFit="1" customWidth="1"/>
    <col min="1288" max="1288" width="5" style="247" bestFit="1" customWidth="1"/>
    <col min="1289" max="1289" width="4.6328125" style="247" bestFit="1" customWidth="1"/>
    <col min="1290" max="1290" width="5.1796875" style="247" customWidth="1"/>
    <col min="1291" max="1291" width="8.6328125" style="247" bestFit="1" customWidth="1"/>
    <col min="1292" max="1292" width="9.453125" style="247" bestFit="1" customWidth="1"/>
    <col min="1293" max="1293" width="8.81640625" style="247"/>
    <col min="1294" max="1294" width="9.81640625" style="247" bestFit="1" customWidth="1"/>
    <col min="1295" max="1492" width="8.81640625" style="247"/>
    <col min="1493" max="1493" width="14.1796875" style="247" bestFit="1" customWidth="1"/>
    <col min="1494" max="1494" width="15.453125" style="247" bestFit="1" customWidth="1"/>
    <col min="1495" max="1495" width="12.453125" style="247" bestFit="1" customWidth="1"/>
    <col min="1496" max="1496" width="6" style="247" bestFit="1" customWidth="1"/>
    <col min="1497" max="1497" width="4.81640625" style="247" bestFit="1" customWidth="1"/>
    <col min="1498" max="1498" width="6.453125" style="247" bestFit="1" customWidth="1"/>
    <col min="1499" max="1499" width="5.36328125" style="247" bestFit="1" customWidth="1"/>
    <col min="1500" max="1500" width="5.6328125" style="247" bestFit="1" customWidth="1"/>
    <col min="1501" max="1501" width="8.81640625" style="247"/>
    <col min="1502" max="1502" width="10.1796875" style="247" bestFit="1" customWidth="1"/>
    <col min="1503" max="1503" width="8.81640625" style="247"/>
    <col min="1504" max="1504" width="9.1796875" style="247" customWidth="1"/>
    <col min="1505" max="1505" width="8.81640625" style="247"/>
    <col min="1506" max="1506" width="4.453125" style="247" bestFit="1" customWidth="1"/>
    <col min="1507" max="1507" width="8.81640625" style="247"/>
    <col min="1508" max="1508" width="9.81640625" style="247" bestFit="1" customWidth="1"/>
    <col min="1509" max="1509" width="8" style="247" bestFit="1" customWidth="1"/>
    <col min="1510" max="1510" width="8.6328125" style="247" customWidth="1"/>
    <col min="1511" max="1511" width="8.81640625" style="247"/>
    <col min="1512" max="1513" width="9.1796875" style="247" customWidth="1"/>
    <col min="1514" max="1514" width="8.81640625" style="247"/>
    <col min="1515" max="1515" width="9.1796875" style="247" customWidth="1"/>
    <col min="1516" max="1516" width="8.81640625" style="247"/>
    <col min="1517" max="1517" width="9.1796875" style="247" customWidth="1"/>
    <col min="1518" max="1518" width="8.81640625" style="247"/>
    <col min="1519" max="1519" width="9.1796875" style="247" customWidth="1"/>
    <col min="1520" max="1520" width="8.81640625" style="247"/>
    <col min="1521" max="1521" width="9.1796875" style="247" customWidth="1"/>
    <col min="1522" max="1522" width="8.81640625" style="247"/>
    <col min="1523" max="1523" width="9.1796875" style="247" customWidth="1"/>
    <col min="1524" max="1524" width="8.81640625" style="247"/>
    <col min="1525" max="1525" width="9.1796875" style="247" customWidth="1"/>
    <col min="1526" max="1526" width="8.81640625" style="247"/>
    <col min="1527" max="1527" width="9.1796875" style="247" customWidth="1"/>
    <col min="1528" max="1528" width="8.81640625" style="247"/>
    <col min="1529" max="1529" width="9.1796875" style="247" customWidth="1"/>
    <col min="1530" max="1530" width="8" style="247" bestFit="1" customWidth="1"/>
    <col min="1531" max="1531" width="8.6328125" style="247" bestFit="1" customWidth="1"/>
    <col min="1532" max="1532" width="5.1796875" style="247" bestFit="1" customWidth="1"/>
    <col min="1533" max="1533" width="5.6328125" style="247" bestFit="1" customWidth="1"/>
    <col min="1534" max="1534" width="6.1796875" style="247" bestFit="1" customWidth="1"/>
    <col min="1535" max="1535" width="4.81640625" style="247" bestFit="1" customWidth="1"/>
    <col min="1536" max="1536" width="9.1796875" style="247" customWidth="1"/>
    <col min="1537" max="1537" width="7" style="247" customWidth="1"/>
    <col min="1538" max="1538" width="8.81640625" style="247"/>
    <col min="1539" max="1539" width="4.453125" style="247" bestFit="1" customWidth="1"/>
    <col min="1540" max="1540" width="4.6328125" style="247" customWidth="1"/>
    <col min="1541" max="1541" width="8.81640625" style="247"/>
    <col min="1542" max="1542" width="5.453125" style="247" bestFit="1" customWidth="1"/>
    <col min="1543" max="1543" width="5.36328125" style="247" bestFit="1" customWidth="1"/>
    <col min="1544" max="1544" width="5" style="247" bestFit="1" customWidth="1"/>
    <col min="1545" max="1545" width="4.6328125" style="247" bestFit="1" customWidth="1"/>
    <col min="1546" max="1546" width="5.1796875" style="247" customWidth="1"/>
    <col min="1547" max="1547" width="8.6328125" style="247" bestFit="1" customWidth="1"/>
    <col min="1548" max="1548" width="9.453125" style="247" bestFit="1" customWidth="1"/>
    <col min="1549" max="1549" width="8.81640625" style="247"/>
    <col min="1550" max="1550" width="9.81640625" style="247" bestFit="1" customWidth="1"/>
    <col min="1551" max="1748" width="8.81640625" style="247"/>
    <col min="1749" max="1749" width="14.1796875" style="247" bestFit="1" customWidth="1"/>
    <col min="1750" max="1750" width="15.453125" style="247" bestFit="1" customWidth="1"/>
    <col min="1751" max="1751" width="12.453125" style="247" bestFit="1" customWidth="1"/>
    <col min="1752" max="1752" width="6" style="247" bestFit="1" customWidth="1"/>
    <col min="1753" max="1753" width="4.81640625" style="247" bestFit="1" customWidth="1"/>
    <col min="1754" max="1754" width="6.453125" style="247" bestFit="1" customWidth="1"/>
    <col min="1755" max="1755" width="5.36328125" style="247" bestFit="1" customWidth="1"/>
    <col min="1756" max="1756" width="5.6328125" style="247" bestFit="1" customWidth="1"/>
    <col min="1757" max="1757" width="8.81640625" style="247"/>
    <col min="1758" max="1758" width="10.1796875" style="247" bestFit="1" customWidth="1"/>
    <col min="1759" max="1759" width="8.81640625" style="247"/>
    <col min="1760" max="1760" width="9.1796875" style="247" customWidth="1"/>
    <col min="1761" max="1761" width="8.81640625" style="247"/>
    <col min="1762" max="1762" width="4.453125" style="247" bestFit="1" customWidth="1"/>
    <col min="1763" max="1763" width="8.81640625" style="247"/>
    <col min="1764" max="1764" width="9.81640625" style="247" bestFit="1" customWidth="1"/>
    <col min="1765" max="1765" width="8" style="247" bestFit="1" customWidth="1"/>
    <col min="1766" max="1766" width="8.6328125" style="247" customWidth="1"/>
    <col min="1767" max="1767" width="8.81640625" style="247"/>
    <col min="1768" max="1769" width="9.1796875" style="247" customWidth="1"/>
    <col min="1770" max="1770" width="8.81640625" style="247"/>
    <col min="1771" max="1771" width="9.1796875" style="247" customWidth="1"/>
    <col min="1772" max="1772" width="8.81640625" style="247"/>
    <col min="1773" max="1773" width="9.1796875" style="247" customWidth="1"/>
    <col min="1774" max="1774" width="8.81640625" style="247"/>
    <col min="1775" max="1775" width="9.1796875" style="247" customWidth="1"/>
    <col min="1776" max="1776" width="8.81640625" style="247"/>
    <col min="1777" max="1777" width="9.1796875" style="247" customWidth="1"/>
    <col min="1778" max="1778" width="8.81640625" style="247"/>
    <col min="1779" max="1779" width="9.1796875" style="247" customWidth="1"/>
    <col min="1780" max="1780" width="8.81640625" style="247"/>
    <col min="1781" max="1781" width="9.1796875" style="247" customWidth="1"/>
    <col min="1782" max="1782" width="8.81640625" style="247"/>
    <col min="1783" max="1783" width="9.1796875" style="247" customWidth="1"/>
    <col min="1784" max="1784" width="8.81640625" style="247"/>
    <col min="1785" max="1785" width="9.1796875" style="247" customWidth="1"/>
    <col min="1786" max="1786" width="8" style="247" bestFit="1" customWidth="1"/>
    <col min="1787" max="1787" width="8.6328125" style="247" bestFit="1" customWidth="1"/>
    <col min="1788" max="1788" width="5.1796875" style="247" bestFit="1" customWidth="1"/>
    <col min="1789" max="1789" width="5.6328125" style="247" bestFit="1" customWidth="1"/>
    <col min="1790" max="1790" width="6.1796875" style="247" bestFit="1" customWidth="1"/>
    <col min="1791" max="1791" width="4.81640625" style="247" bestFit="1" customWidth="1"/>
    <col min="1792" max="1792" width="9.1796875" style="247" customWidth="1"/>
    <col min="1793" max="1793" width="7" style="247" customWidth="1"/>
    <col min="1794" max="1794" width="8.81640625" style="247"/>
    <col min="1795" max="1795" width="4.453125" style="247" bestFit="1" customWidth="1"/>
    <col min="1796" max="1796" width="4.6328125" style="247" customWidth="1"/>
    <col min="1797" max="1797" width="8.81640625" style="247"/>
    <col min="1798" max="1798" width="5.453125" style="247" bestFit="1" customWidth="1"/>
    <col min="1799" max="1799" width="5.36328125" style="247" bestFit="1" customWidth="1"/>
    <col min="1800" max="1800" width="5" style="247" bestFit="1" customWidth="1"/>
    <col min="1801" max="1801" width="4.6328125" style="247" bestFit="1" customWidth="1"/>
    <col min="1802" max="1802" width="5.1796875" style="247" customWidth="1"/>
    <col min="1803" max="1803" width="8.6328125" style="247" bestFit="1" customWidth="1"/>
    <col min="1804" max="1804" width="9.453125" style="247" bestFit="1" customWidth="1"/>
    <col min="1805" max="1805" width="8.81640625" style="247"/>
    <col min="1806" max="1806" width="9.81640625" style="247" bestFit="1" customWidth="1"/>
    <col min="1807" max="2004" width="8.81640625" style="247"/>
    <col min="2005" max="2005" width="14.1796875" style="247" bestFit="1" customWidth="1"/>
    <col min="2006" max="2006" width="15.453125" style="247" bestFit="1" customWidth="1"/>
    <col min="2007" max="2007" width="12.453125" style="247" bestFit="1" customWidth="1"/>
    <col min="2008" max="2008" width="6" style="247" bestFit="1" customWidth="1"/>
    <col min="2009" max="2009" width="4.81640625" style="247" bestFit="1" customWidth="1"/>
    <col min="2010" max="2010" width="6.453125" style="247" bestFit="1" customWidth="1"/>
    <col min="2011" max="2011" width="5.36328125" style="247" bestFit="1" customWidth="1"/>
    <col min="2012" max="2012" width="5.6328125" style="247" bestFit="1" customWidth="1"/>
    <col min="2013" max="2013" width="8.81640625" style="247"/>
    <col min="2014" max="2014" width="10.1796875" style="247" bestFit="1" customWidth="1"/>
    <col min="2015" max="2015" width="8.81640625" style="247"/>
    <col min="2016" max="2016" width="9.1796875" style="247" customWidth="1"/>
    <col min="2017" max="2017" width="8.81640625" style="247"/>
    <col min="2018" max="2018" width="4.453125" style="247" bestFit="1" customWidth="1"/>
    <col min="2019" max="2019" width="8.81640625" style="247"/>
    <col min="2020" max="2020" width="9.81640625" style="247" bestFit="1" customWidth="1"/>
    <col min="2021" max="2021" width="8" style="247" bestFit="1" customWidth="1"/>
    <col min="2022" max="2022" width="8.6328125" style="247" customWidth="1"/>
    <col min="2023" max="2023" width="8.81640625" style="247"/>
    <col min="2024" max="2025" width="9.1796875" style="247" customWidth="1"/>
    <col min="2026" max="2026" width="8.81640625" style="247"/>
    <col min="2027" max="2027" width="9.1796875" style="247" customWidth="1"/>
    <col min="2028" max="2028" width="8.81640625" style="247"/>
    <col min="2029" max="2029" width="9.1796875" style="247" customWidth="1"/>
    <col min="2030" max="2030" width="8.81640625" style="247"/>
    <col min="2031" max="2031" width="9.1796875" style="247" customWidth="1"/>
    <col min="2032" max="2032" width="8.81640625" style="247"/>
    <col min="2033" max="2033" width="9.1796875" style="247" customWidth="1"/>
    <col min="2034" max="2034" width="8.81640625" style="247"/>
    <col min="2035" max="2035" width="9.1796875" style="247" customWidth="1"/>
    <col min="2036" max="2036" width="8.81640625" style="247"/>
    <col min="2037" max="2037" width="9.1796875" style="247" customWidth="1"/>
    <col min="2038" max="2038" width="8.81640625" style="247"/>
    <col min="2039" max="2039" width="9.1796875" style="247" customWidth="1"/>
    <col min="2040" max="2040" width="8.81640625" style="247"/>
    <col min="2041" max="2041" width="9.1796875" style="247" customWidth="1"/>
    <col min="2042" max="2042" width="8" style="247" bestFit="1" customWidth="1"/>
    <col min="2043" max="2043" width="8.6328125" style="247" bestFit="1" customWidth="1"/>
    <col min="2044" max="2044" width="5.1796875" style="247" bestFit="1" customWidth="1"/>
    <col min="2045" max="2045" width="5.6328125" style="247" bestFit="1" customWidth="1"/>
    <col min="2046" max="2046" width="6.1796875" style="247" bestFit="1" customWidth="1"/>
    <col min="2047" max="2047" width="4.81640625" style="247" bestFit="1" customWidth="1"/>
    <col min="2048" max="2048" width="9.1796875" style="247" customWidth="1"/>
    <col min="2049" max="2049" width="7" style="247" customWidth="1"/>
    <col min="2050" max="2050" width="8.81640625" style="247"/>
    <col min="2051" max="2051" width="4.453125" style="247" bestFit="1" customWidth="1"/>
    <col min="2052" max="2052" width="4.6328125" style="247" customWidth="1"/>
    <col min="2053" max="2053" width="8.81640625" style="247"/>
    <col min="2054" max="2054" width="5.453125" style="247" bestFit="1" customWidth="1"/>
    <col min="2055" max="2055" width="5.36328125" style="247" bestFit="1" customWidth="1"/>
    <col min="2056" max="2056" width="5" style="247" bestFit="1" customWidth="1"/>
    <col min="2057" max="2057" width="4.6328125" style="247" bestFit="1" customWidth="1"/>
    <col min="2058" max="2058" width="5.1796875" style="247" customWidth="1"/>
    <col min="2059" max="2059" width="8.6328125" style="247" bestFit="1" customWidth="1"/>
    <col min="2060" max="2060" width="9.453125" style="247" bestFit="1" customWidth="1"/>
    <col min="2061" max="2061" width="8.81640625" style="247"/>
    <col min="2062" max="2062" width="9.81640625" style="247" bestFit="1" customWidth="1"/>
    <col min="2063" max="2260" width="8.81640625" style="247"/>
    <col min="2261" max="2261" width="14.1796875" style="247" bestFit="1" customWidth="1"/>
    <col min="2262" max="2262" width="15.453125" style="247" bestFit="1" customWidth="1"/>
    <col min="2263" max="2263" width="12.453125" style="247" bestFit="1" customWidth="1"/>
    <col min="2264" max="2264" width="6" style="247" bestFit="1" customWidth="1"/>
    <col min="2265" max="2265" width="4.81640625" style="247" bestFit="1" customWidth="1"/>
    <col min="2266" max="2266" width="6.453125" style="247" bestFit="1" customWidth="1"/>
    <col min="2267" max="2267" width="5.36328125" style="247" bestFit="1" customWidth="1"/>
    <col min="2268" max="2268" width="5.6328125" style="247" bestFit="1" customWidth="1"/>
    <col min="2269" max="2269" width="8.81640625" style="247"/>
    <col min="2270" max="2270" width="10.1796875" style="247" bestFit="1" customWidth="1"/>
    <col min="2271" max="2271" width="8.81640625" style="247"/>
    <col min="2272" max="2272" width="9.1796875" style="247" customWidth="1"/>
    <col min="2273" max="2273" width="8.81640625" style="247"/>
    <col min="2274" max="2274" width="4.453125" style="247" bestFit="1" customWidth="1"/>
    <col min="2275" max="2275" width="8.81640625" style="247"/>
    <col min="2276" max="2276" width="9.81640625" style="247" bestFit="1" customWidth="1"/>
    <col min="2277" max="2277" width="8" style="247" bestFit="1" customWidth="1"/>
    <col min="2278" max="2278" width="8.6328125" style="247" customWidth="1"/>
    <col min="2279" max="2279" width="8.81640625" style="247"/>
    <col min="2280" max="2281" width="9.1796875" style="247" customWidth="1"/>
    <col min="2282" max="2282" width="8.81640625" style="247"/>
    <col min="2283" max="2283" width="9.1796875" style="247" customWidth="1"/>
    <col min="2284" max="2284" width="8.81640625" style="247"/>
    <col min="2285" max="2285" width="9.1796875" style="247" customWidth="1"/>
    <col min="2286" max="2286" width="8.81640625" style="247"/>
    <col min="2287" max="2287" width="9.1796875" style="247" customWidth="1"/>
    <col min="2288" max="2288" width="8.81640625" style="247"/>
    <col min="2289" max="2289" width="9.1796875" style="247" customWidth="1"/>
    <col min="2290" max="2290" width="8.81640625" style="247"/>
    <col min="2291" max="2291" width="9.1796875" style="247" customWidth="1"/>
    <col min="2292" max="2292" width="8.81640625" style="247"/>
    <col min="2293" max="2293" width="9.1796875" style="247" customWidth="1"/>
    <col min="2294" max="2294" width="8.81640625" style="247"/>
    <col min="2295" max="2295" width="9.1796875" style="247" customWidth="1"/>
    <col min="2296" max="2296" width="8.81640625" style="247"/>
    <col min="2297" max="2297" width="9.1796875" style="247" customWidth="1"/>
    <col min="2298" max="2298" width="8" style="247" bestFit="1" customWidth="1"/>
    <col min="2299" max="2299" width="8.6328125" style="247" bestFit="1" customWidth="1"/>
    <col min="2300" max="2300" width="5.1796875" style="247" bestFit="1" customWidth="1"/>
    <col min="2301" max="2301" width="5.6328125" style="247" bestFit="1" customWidth="1"/>
    <col min="2302" max="2302" width="6.1796875" style="247" bestFit="1" customWidth="1"/>
    <col min="2303" max="2303" width="4.81640625" style="247" bestFit="1" customWidth="1"/>
    <col min="2304" max="2304" width="9.1796875" style="247" customWidth="1"/>
    <col min="2305" max="2305" width="7" style="247" customWidth="1"/>
    <col min="2306" max="2306" width="8.81640625" style="247"/>
    <col min="2307" max="2307" width="4.453125" style="247" bestFit="1" customWidth="1"/>
    <col min="2308" max="2308" width="4.6328125" style="247" customWidth="1"/>
    <col min="2309" max="2309" width="8.81640625" style="247"/>
    <col min="2310" max="2310" width="5.453125" style="247" bestFit="1" customWidth="1"/>
    <col min="2311" max="2311" width="5.36328125" style="247" bestFit="1" customWidth="1"/>
    <col min="2312" max="2312" width="5" style="247" bestFit="1" customWidth="1"/>
    <col min="2313" max="2313" width="4.6328125" style="247" bestFit="1" customWidth="1"/>
    <col min="2314" max="2314" width="5.1796875" style="247" customWidth="1"/>
    <col min="2315" max="2315" width="8.6328125" style="247" bestFit="1" customWidth="1"/>
    <col min="2316" max="2316" width="9.453125" style="247" bestFit="1" customWidth="1"/>
    <col min="2317" max="2317" width="8.81640625" style="247"/>
    <col min="2318" max="2318" width="9.81640625" style="247" bestFit="1" customWidth="1"/>
    <col min="2319" max="2516" width="8.81640625" style="247"/>
    <col min="2517" max="2517" width="14.1796875" style="247" bestFit="1" customWidth="1"/>
    <col min="2518" max="2518" width="15.453125" style="247" bestFit="1" customWidth="1"/>
    <col min="2519" max="2519" width="12.453125" style="247" bestFit="1" customWidth="1"/>
    <col min="2520" max="2520" width="6" style="247" bestFit="1" customWidth="1"/>
    <col min="2521" max="2521" width="4.81640625" style="247" bestFit="1" customWidth="1"/>
    <col min="2522" max="2522" width="6.453125" style="247" bestFit="1" customWidth="1"/>
    <col min="2523" max="2523" width="5.36328125" style="247" bestFit="1" customWidth="1"/>
    <col min="2524" max="2524" width="5.6328125" style="247" bestFit="1" customWidth="1"/>
    <col min="2525" max="2525" width="8.81640625" style="247"/>
    <col min="2526" max="2526" width="10.1796875" style="247" bestFit="1" customWidth="1"/>
    <col min="2527" max="2527" width="8.81640625" style="247"/>
    <col min="2528" max="2528" width="9.1796875" style="247" customWidth="1"/>
    <col min="2529" max="2529" width="8.81640625" style="247"/>
    <col min="2530" max="2530" width="4.453125" style="247" bestFit="1" customWidth="1"/>
    <col min="2531" max="2531" width="8.81640625" style="247"/>
    <col min="2532" max="2532" width="9.81640625" style="247" bestFit="1" customWidth="1"/>
    <col min="2533" max="2533" width="8" style="247" bestFit="1" customWidth="1"/>
    <col min="2534" max="2534" width="8.6328125" style="247" customWidth="1"/>
    <col min="2535" max="2535" width="8.81640625" style="247"/>
    <col min="2536" max="2537" width="9.1796875" style="247" customWidth="1"/>
    <col min="2538" max="2538" width="8.81640625" style="247"/>
    <col min="2539" max="2539" width="9.1796875" style="247" customWidth="1"/>
    <col min="2540" max="2540" width="8.81640625" style="247"/>
    <col min="2541" max="2541" width="9.1796875" style="247" customWidth="1"/>
    <col min="2542" max="2542" width="8.81640625" style="247"/>
    <col min="2543" max="2543" width="9.1796875" style="247" customWidth="1"/>
    <col min="2544" max="2544" width="8.81640625" style="247"/>
    <col min="2545" max="2545" width="9.1796875" style="247" customWidth="1"/>
    <col min="2546" max="2546" width="8.81640625" style="247"/>
    <col min="2547" max="2547" width="9.1796875" style="247" customWidth="1"/>
    <col min="2548" max="2548" width="8.81640625" style="247"/>
    <col min="2549" max="2549" width="9.1796875" style="247" customWidth="1"/>
    <col min="2550" max="2550" width="8.81640625" style="247"/>
    <col min="2551" max="2551" width="9.1796875" style="247" customWidth="1"/>
    <col min="2552" max="2552" width="8.81640625" style="247"/>
    <col min="2553" max="2553" width="9.1796875" style="247" customWidth="1"/>
    <col min="2554" max="2554" width="8" style="247" bestFit="1" customWidth="1"/>
    <col min="2555" max="2555" width="8.6328125" style="247" bestFit="1" customWidth="1"/>
    <col min="2556" max="2556" width="5.1796875" style="247" bestFit="1" customWidth="1"/>
    <col min="2557" max="2557" width="5.6328125" style="247" bestFit="1" customWidth="1"/>
    <col min="2558" max="2558" width="6.1796875" style="247" bestFit="1" customWidth="1"/>
    <col min="2559" max="2559" width="4.81640625" style="247" bestFit="1" customWidth="1"/>
    <col min="2560" max="2560" width="9.1796875" style="247" customWidth="1"/>
    <col min="2561" max="2561" width="7" style="247" customWidth="1"/>
    <col min="2562" max="2562" width="8.81640625" style="247"/>
    <col min="2563" max="2563" width="4.453125" style="247" bestFit="1" customWidth="1"/>
    <col min="2564" max="2564" width="4.6328125" style="247" customWidth="1"/>
    <col min="2565" max="2565" width="8.81640625" style="247"/>
    <col min="2566" max="2566" width="5.453125" style="247" bestFit="1" customWidth="1"/>
    <col min="2567" max="2567" width="5.36328125" style="247" bestFit="1" customWidth="1"/>
    <col min="2568" max="2568" width="5" style="247" bestFit="1" customWidth="1"/>
    <col min="2569" max="2569" width="4.6328125" style="247" bestFit="1" customWidth="1"/>
    <col min="2570" max="2570" width="5.1796875" style="247" customWidth="1"/>
    <col min="2571" max="2571" width="8.6328125" style="247" bestFit="1" customWidth="1"/>
    <col min="2572" max="2572" width="9.453125" style="247" bestFit="1" customWidth="1"/>
    <col min="2573" max="2573" width="8.81640625" style="247"/>
    <col min="2574" max="2574" width="9.81640625" style="247" bestFit="1" customWidth="1"/>
    <col min="2575" max="2772" width="8.81640625" style="247"/>
    <col min="2773" max="2773" width="14.1796875" style="247" bestFit="1" customWidth="1"/>
    <col min="2774" max="2774" width="15.453125" style="247" bestFit="1" customWidth="1"/>
    <col min="2775" max="2775" width="12.453125" style="247" bestFit="1" customWidth="1"/>
    <col min="2776" max="2776" width="6" style="247" bestFit="1" customWidth="1"/>
    <col min="2777" max="2777" width="4.81640625" style="247" bestFit="1" customWidth="1"/>
    <col min="2778" max="2778" width="6.453125" style="247" bestFit="1" customWidth="1"/>
    <col min="2779" max="2779" width="5.36328125" style="247" bestFit="1" customWidth="1"/>
    <col min="2780" max="2780" width="5.6328125" style="247" bestFit="1" customWidth="1"/>
    <col min="2781" max="2781" width="8.81640625" style="247"/>
    <col min="2782" max="2782" width="10.1796875" style="247" bestFit="1" customWidth="1"/>
    <col min="2783" max="2783" width="8.81640625" style="247"/>
    <col min="2784" max="2784" width="9.1796875" style="247" customWidth="1"/>
    <col min="2785" max="2785" width="8.81640625" style="247"/>
    <col min="2786" max="2786" width="4.453125" style="247" bestFit="1" customWidth="1"/>
    <col min="2787" max="2787" width="8.81640625" style="247"/>
    <col min="2788" max="2788" width="9.81640625" style="247" bestFit="1" customWidth="1"/>
    <col min="2789" max="2789" width="8" style="247" bestFit="1" customWidth="1"/>
    <col min="2790" max="2790" width="8.6328125" style="247" customWidth="1"/>
    <col min="2791" max="2791" width="8.81640625" style="247"/>
    <col min="2792" max="2793" width="9.1796875" style="247" customWidth="1"/>
    <col min="2794" max="2794" width="8.81640625" style="247"/>
    <col min="2795" max="2795" width="9.1796875" style="247" customWidth="1"/>
    <col min="2796" max="2796" width="8.81640625" style="247"/>
    <col min="2797" max="2797" width="9.1796875" style="247" customWidth="1"/>
    <col min="2798" max="2798" width="8.81640625" style="247"/>
    <col min="2799" max="2799" width="9.1796875" style="247" customWidth="1"/>
    <col min="2800" max="2800" width="8.81640625" style="247"/>
    <col min="2801" max="2801" width="9.1796875" style="247" customWidth="1"/>
    <col min="2802" max="2802" width="8.81640625" style="247"/>
    <col min="2803" max="2803" width="9.1796875" style="247" customWidth="1"/>
    <col min="2804" max="2804" width="8.81640625" style="247"/>
    <col min="2805" max="2805" width="9.1796875" style="247" customWidth="1"/>
    <col min="2806" max="2806" width="8.81640625" style="247"/>
    <col min="2807" max="2807" width="9.1796875" style="247" customWidth="1"/>
    <col min="2808" max="2808" width="8.81640625" style="247"/>
    <col min="2809" max="2809" width="9.1796875" style="247" customWidth="1"/>
    <col min="2810" max="2810" width="8" style="247" bestFit="1" customWidth="1"/>
    <col min="2811" max="2811" width="8.6328125" style="247" bestFit="1" customWidth="1"/>
    <col min="2812" max="2812" width="5.1796875" style="247" bestFit="1" customWidth="1"/>
    <col min="2813" max="2813" width="5.6328125" style="247" bestFit="1" customWidth="1"/>
    <col min="2814" max="2814" width="6.1796875" style="247" bestFit="1" customWidth="1"/>
    <col min="2815" max="2815" width="4.81640625" style="247" bestFit="1" customWidth="1"/>
    <col min="2816" max="2816" width="9.1796875" style="247" customWidth="1"/>
    <col min="2817" max="2817" width="7" style="247" customWidth="1"/>
    <col min="2818" max="2818" width="8.81640625" style="247"/>
    <col min="2819" max="2819" width="4.453125" style="247" bestFit="1" customWidth="1"/>
    <col min="2820" max="2820" width="4.6328125" style="247" customWidth="1"/>
    <col min="2821" max="2821" width="8.81640625" style="247"/>
    <col min="2822" max="2822" width="5.453125" style="247" bestFit="1" customWidth="1"/>
    <col min="2823" max="2823" width="5.36328125" style="247" bestFit="1" customWidth="1"/>
    <col min="2824" max="2824" width="5" style="247" bestFit="1" customWidth="1"/>
    <col min="2825" max="2825" width="4.6328125" style="247" bestFit="1" customWidth="1"/>
    <col min="2826" max="2826" width="5.1796875" style="247" customWidth="1"/>
    <col min="2827" max="2827" width="8.6328125" style="247" bestFit="1" customWidth="1"/>
    <col min="2828" max="2828" width="9.453125" style="247" bestFit="1" customWidth="1"/>
    <col min="2829" max="2829" width="8.81640625" style="247"/>
    <col min="2830" max="2830" width="9.81640625" style="247" bestFit="1" customWidth="1"/>
    <col min="2831" max="3028" width="8.81640625" style="247"/>
    <col min="3029" max="3029" width="14.1796875" style="247" bestFit="1" customWidth="1"/>
    <col min="3030" max="3030" width="15.453125" style="247" bestFit="1" customWidth="1"/>
    <col min="3031" max="3031" width="12.453125" style="247" bestFit="1" customWidth="1"/>
    <col min="3032" max="3032" width="6" style="247" bestFit="1" customWidth="1"/>
    <col min="3033" max="3033" width="4.81640625" style="247" bestFit="1" customWidth="1"/>
    <col min="3034" max="3034" width="6.453125" style="247" bestFit="1" customWidth="1"/>
    <col min="3035" max="3035" width="5.36328125" style="247" bestFit="1" customWidth="1"/>
    <col min="3036" max="3036" width="5.6328125" style="247" bestFit="1" customWidth="1"/>
    <col min="3037" max="3037" width="8.81640625" style="247"/>
    <col min="3038" max="3038" width="10.1796875" style="247" bestFit="1" customWidth="1"/>
    <col min="3039" max="3039" width="8.81640625" style="247"/>
    <col min="3040" max="3040" width="9.1796875" style="247" customWidth="1"/>
    <col min="3041" max="3041" width="8.81640625" style="247"/>
    <col min="3042" max="3042" width="4.453125" style="247" bestFit="1" customWidth="1"/>
    <col min="3043" max="3043" width="8.81640625" style="247"/>
    <col min="3044" max="3044" width="9.81640625" style="247" bestFit="1" customWidth="1"/>
    <col min="3045" max="3045" width="8" style="247" bestFit="1" customWidth="1"/>
    <col min="3046" max="3046" width="8.6328125" style="247" customWidth="1"/>
    <col min="3047" max="3047" width="8.81640625" style="247"/>
    <col min="3048" max="3049" width="9.1796875" style="247" customWidth="1"/>
    <col min="3050" max="3050" width="8.81640625" style="247"/>
    <col min="3051" max="3051" width="9.1796875" style="247" customWidth="1"/>
    <col min="3052" max="3052" width="8.81640625" style="247"/>
    <col min="3053" max="3053" width="9.1796875" style="247" customWidth="1"/>
    <col min="3054" max="3054" width="8.81640625" style="247"/>
    <col min="3055" max="3055" width="9.1796875" style="247" customWidth="1"/>
    <col min="3056" max="3056" width="8.81640625" style="247"/>
    <col min="3057" max="3057" width="9.1796875" style="247" customWidth="1"/>
    <col min="3058" max="3058" width="8.81640625" style="247"/>
    <col min="3059" max="3059" width="9.1796875" style="247" customWidth="1"/>
    <col min="3060" max="3060" width="8.81640625" style="247"/>
    <col min="3061" max="3061" width="9.1796875" style="247" customWidth="1"/>
    <col min="3062" max="3062" width="8.81640625" style="247"/>
    <col min="3063" max="3063" width="9.1796875" style="247" customWidth="1"/>
    <col min="3064" max="3064" width="8.81640625" style="247"/>
    <col min="3065" max="3065" width="9.1796875" style="247" customWidth="1"/>
    <col min="3066" max="3066" width="8" style="247" bestFit="1" customWidth="1"/>
    <col min="3067" max="3067" width="8.6328125" style="247" bestFit="1" customWidth="1"/>
    <col min="3068" max="3068" width="5.1796875" style="247" bestFit="1" customWidth="1"/>
    <col min="3069" max="3069" width="5.6328125" style="247" bestFit="1" customWidth="1"/>
    <col min="3070" max="3070" width="6.1796875" style="247" bestFit="1" customWidth="1"/>
    <col min="3071" max="3071" width="4.81640625" style="247" bestFit="1" customWidth="1"/>
    <col min="3072" max="3072" width="9.1796875" style="247" customWidth="1"/>
    <col min="3073" max="3073" width="7" style="247" customWidth="1"/>
    <col min="3074" max="3074" width="8.81640625" style="247"/>
    <col min="3075" max="3075" width="4.453125" style="247" bestFit="1" customWidth="1"/>
    <col min="3076" max="3076" width="4.6328125" style="247" customWidth="1"/>
    <col min="3077" max="3077" width="8.81640625" style="247"/>
    <col min="3078" max="3078" width="5.453125" style="247" bestFit="1" customWidth="1"/>
    <col min="3079" max="3079" width="5.36328125" style="247" bestFit="1" customWidth="1"/>
    <col min="3080" max="3080" width="5" style="247" bestFit="1" customWidth="1"/>
    <col min="3081" max="3081" width="4.6328125" style="247" bestFit="1" customWidth="1"/>
    <col min="3082" max="3082" width="5.1796875" style="247" customWidth="1"/>
    <col min="3083" max="3083" width="8.6328125" style="247" bestFit="1" customWidth="1"/>
    <col min="3084" max="3084" width="9.453125" style="247" bestFit="1" customWidth="1"/>
    <col min="3085" max="3085" width="8.81640625" style="247"/>
    <col min="3086" max="3086" width="9.81640625" style="247" bestFit="1" customWidth="1"/>
    <col min="3087" max="3284" width="8.81640625" style="247"/>
    <col min="3285" max="3285" width="14.1796875" style="247" bestFit="1" customWidth="1"/>
    <col min="3286" max="3286" width="15.453125" style="247" bestFit="1" customWidth="1"/>
    <col min="3287" max="3287" width="12.453125" style="247" bestFit="1" customWidth="1"/>
    <col min="3288" max="3288" width="6" style="247" bestFit="1" customWidth="1"/>
    <col min="3289" max="3289" width="4.81640625" style="247" bestFit="1" customWidth="1"/>
    <col min="3290" max="3290" width="6.453125" style="247" bestFit="1" customWidth="1"/>
    <col min="3291" max="3291" width="5.36328125" style="247" bestFit="1" customWidth="1"/>
    <col min="3292" max="3292" width="5.6328125" style="247" bestFit="1" customWidth="1"/>
    <col min="3293" max="3293" width="8.81640625" style="247"/>
    <col min="3294" max="3294" width="10.1796875" style="247" bestFit="1" customWidth="1"/>
    <col min="3295" max="3295" width="8.81640625" style="247"/>
    <col min="3296" max="3296" width="9.1796875" style="247" customWidth="1"/>
    <col min="3297" max="3297" width="8.81640625" style="247"/>
    <col min="3298" max="3298" width="4.453125" style="247" bestFit="1" customWidth="1"/>
    <col min="3299" max="3299" width="8.81640625" style="247"/>
    <col min="3300" max="3300" width="9.81640625" style="247" bestFit="1" customWidth="1"/>
    <col min="3301" max="3301" width="8" style="247" bestFit="1" customWidth="1"/>
    <col min="3302" max="3302" width="8.6328125" style="247" customWidth="1"/>
    <col min="3303" max="3303" width="8.81640625" style="247"/>
    <col min="3304" max="3305" width="9.1796875" style="247" customWidth="1"/>
    <col min="3306" max="3306" width="8.81640625" style="247"/>
    <col min="3307" max="3307" width="9.1796875" style="247" customWidth="1"/>
    <col min="3308" max="3308" width="8.81640625" style="247"/>
    <col min="3309" max="3309" width="9.1796875" style="247" customWidth="1"/>
    <col min="3310" max="3310" width="8.81640625" style="247"/>
    <col min="3311" max="3311" width="9.1796875" style="247" customWidth="1"/>
    <col min="3312" max="3312" width="8.81640625" style="247"/>
    <col min="3313" max="3313" width="9.1796875" style="247" customWidth="1"/>
    <col min="3314" max="3314" width="8.81640625" style="247"/>
    <col min="3315" max="3315" width="9.1796875" style="247" customWidth="1"/>
    <col min="3316" max="3316" width="8.81640625" style="247"/>
    <col min="3317" max="3317" width="9.1796875" style="247" customWidth="1"/>
    <col min="3318" max="3318" width="8.81640625" style="247"/>
    <col min="3319" max="3319" width="9.1796875" style="247" customWidth="1"/>
    <col min="3320" max="3320" width="8.81640625" style="247"/>
    <col min="3321" max="3321" width="9.1796875" style="247" customWidth="1"/>
    <col min="3322" max="3322" width="8" style="247" bestFit="1" customWidth="1"/>
    <col min="3323" max="3323" width="8.6328125" style="247" bestFit="1" customWidth="1"/>
    <col min="3324" max="3324" width="5.1796875" style="247" bestFit="1" customWidth="1"/>
    <col min="3325" max="3325" width="5.6328125" style="247" bestFit="1" customWidth="1"/>
    <col min="3326" max="3326" width="6.1796875" style="247" bestFit="1" customWidth="1"/>
    <col min="3327" max="3327" width="4.81640625" style="247" bestFit="1" customWidth="1"/>
    <col min="3328" max="3328" width="9.1796875" style="247" customWidth="1"/>
    <col min="3329" max="3329" width="7" style="247" customWidth="1"/>
    <col min="3330" max="3330" width="8.81640625" style="247"/>
    <col min="3331" max="3331" width="4.453125" style="247" bestFit="1" customWidth="1"/>
    <col min="3332" max="3332" width="4.6328125" style="247" customWidth="1"/>
    <col min="3333" max="3333" width="8.81640625" style="247"/>
    <col min="3334" max="3334" width="5.453125" style="247" bestFit="1" customWidth="1"/>
    <col min="3335" max="3335" width="5.36328125" style="247" bestFit="1" customWidth="1"/>
    <col min="3336" max="3336" width="5" style="247" bestFit="1" customWidth="1"/>
    <col min="3337" max="3337" width="4.6328125" style="247" bestFit="1" customWidth="1"/>
    <col min="3338" max="3338" width="5.1796875" style="247" customWidth="1"/>
    <col min="3339" max="3339" width="8.6328125" style="247" bestFit="1" customWidth="1"/>
    <col min="3340" max="3340" width="9.453125" style="247" bestFit="1" customWidth="1"/>
    <col min="3341" max="3341" width="8.81640625" style="247"/>
    <col min="3342" max="3342" width="9.81640625" style="247" bestFit="1" customWidth="1"/>
    <col min="3343" max="3540" width="8.81640625" style="247"/>
    <col min="3541" max="3541" width="14.1796875" style="247" bestFit="1" customWidth="1"/>
    <col min="3542" max="3542" width="15.453125" style="247" bestFit="1" customWidth="1"/>
    <col min="3543" max="3543" width="12.453125" style="247" bestFit="1" customWidth="1"/>
    <col min="3544" max="3544" width="6" style="247" bestFit="1" customWidth="1"/>
    <col min="3545" max="3545" width="4.81640625" style="247" bestFit="1" customWidth="1"/>
    <col min="3546" max="3546" width="6.453125" style="247" bestFit="1" customWidth="1"/>
    <col min="3547" max="3547" width="5.36328125" style="247" bestFit="1" customWidth="1"/>
    <col min="3548" max="3548" width="5.6328125" style="247" bestFit="1" customWidth="1"/>
    <col min="3549" max="3549" width="8.81640625" style="247"/>
    <col min="3550" max="3550" width="10.1796875" style="247" bestFit="1" customWidth="1"/>
    <col min="3551" max="3551" width="8.81640625" style="247"/>
    <col min="3552" max="3552" width="9.1796875" style="247" customWidth="1"/>
    <col min="3553" max="3553" width="8.81640625" style="247"/>
    <col min="3554" max="3554" width="4.453125" style="247" bestFit="1" customWidth="1"/>
    <col min="3555" max="3555" width="8.81640625" style="247"/>
    <col min="3556" max="3556" width="9.81640625" style="247" bestFit="1" customWidth="1"/>
    <col min="3557" max="3557" width="8" style="247" bestFit="1" customWidth="1"/>
    <col min="3558" max="3558" width="8.6328125" style="247" customWidth="1"/>
    <col min="3559" max="3559" width="8.81640625" style="247"/>
    <col min="3560" max="3561" width="9.1796875" style="247" customWidth="1"/>
    <col min="3562" max="3562" width="8.81640625" style="247"/>
    <col min="3563" max="3563" width="9.1796875" style="247" customWidth="1"/>
    <col min="3564" max="3564" width="8.81640625" style="247"/>
    <col min="3565" max="3565" width="9.1796875" style="247" customWidth="1"/>
    <col min="3566" max="3566" width="8.81640625" style="247"/>
    <col min="3567" max="3567" width="9.1796875" style="247" customWidth="1"/>
    <col min="3568" max="3568" width="8.81640625" style="247"/>
    <col min="3569" max="3569" width="9.1796875" style="247" customWidth="1"/>
    <col min="3570" max="3570" width="8.81640625" style="247"/>
    <col min="3571" max="3571" width="9.1796875" style="247" customWidth="1"/>
    <col min="3572" max="3572" width="8.81640625" style="247"/>
    <col min="3573" max="3573" width="9.1796875" style="247" customWidth="1"/>
    <col min="3574" max="3574" width="8.81640625" style="247"/>
    <col min="3575" max="3575" width="9.1796875" style="247" customWidth="1"/>
    <col min="3576" max="3576" width="8.81640625" style="247"/>
    <col min="3577" max="3577" width="9.1796875" style="247" customWidth="1"/>
    <col min="3578" max="3578" width="8" style="247" bestFit="1" customWidth="1"/>
    <col min="3579" max="3579" width="8.6328125" style="247" bestFit="1" customWidth="1"/>
    <col min="3580" max="3580" width="5.1796875" style="247" bestFit="1" customWidth="1"/>
    <col min="3581" max="3581" width="5.6328125" style="247" bestFit="1" customWidth="1"/>
    <col min="3582" max="3582" width="6.1796875" style="247" bestFit="1" customWidth="1"/>
    <col min="3583" max="3583" width="4.81640625" style="247" bestFit="1" customWidth="1"/>
    <col min="3584" max="3584" width="9.1796875" style="247" customWidth="1"/>
    <col min="3585" max="3585" width="7" style="247" customWidth="1"/>
    <col min="3586" max="3586" width="8.81640625" style="247"/>
    <col min="3587" max="3587" width="4.453125" style="247" bestFit="1" customWidth="1"/>
    <col min="3588" max="3588" width="4.6328125" style="247" customWidth="1"/>
    <col min="3589" max="3589" width="8.81640625" style="247"/>
    <col min="3590" max="3590" width="5.453125" style="247" bestFit="1" customWidth="1"/>
    <col min="3591" max="3591" width="5.36328125" style="247" bestFit="1" customWidth="1"/>
    <col min="3592" max="3592" width="5" style="247" bestFit="1" customWidth="1"/>
    <col min="3593" max="3593" width="4.6328125" style="247" bestFit="1" customWidth="1"/>
    <col min="3594" max="3594" width="5.1796875" style="247" customWidth="1"/>
    <col min="3595" max="3595" width="8.6328125" style="247" bestFit="1" customWidth="1"/>
    <col min="3596" max="3596" width="9.453125" style="247" bestFit="1" customWidth="1"/>
    <col min="3597" max="3597" width="8.81640625" style="247"/>
    <col min="3598" max="3598" width="9.81640625" style="247" bestFit="1" customWidth="1"/>
    <col min="3599" max="3796" width="8.81640625" style="247"/>
    <col min="3797" max="3797" width="14.1796875" style="247" bestFit="1" customWidth="1"/>
    <col min="3798" max="3798" width="15.453125" style="247" bestFit="1" customWidth="1"/>
    <col min="3799" max="3799" width="12.453125" style="247" bestFit="1" customWidth="1"/>
    <col min="3800" max="3800" width="6" style="247" bestFit="1" customWidth="1"/>
    <col min="3801" max="3801" width="4.81640625" style="247" bestFit="1" customWidth="1"/>
    <col min="3802" max="3802" width="6.453125" style="247" bestFit="1" customWidth="1"/>
    <col min="3803" max="3803" width="5.36328125" style="247" bestFit="1" customWidth="1"/>
    <col min="3804" max="3804" width="5.6328125" style="247" bestFit="1" customWidth="1"/>
    <col min="3805" max="3805" width="8.81640625" style="247"/>
    <col min="3806" max="3806" width="10.1796875" style="247" bestFit="1" customWidth="1"/>
    <col min="3807" max="3807" width="8.81640625" style="247"/>
    <col min="3808" max="3808" width="9.1796875" style="247" customWidth="1"/>
    <col min="3809" max="3809" width="8.81640625" style="247"/>
    <col min="3810" max="3810" width="4.453125" style="247" bestFit="1" customWidth="1"/>
    <col min="3811" max="3811" width="8.81640625" style="247"/>
    <col min="3812" max="3812" width="9.81640625" style="247" bestFit="1" customWidth="1"/>
    <col min="3813" max="3813" width="8" style="247" bestFit="1" customWidth="1"/>
    <col min="3814" max="3814" width="8.6328125" style="247" customWidth="1"/>
    <col min="3815" max="3815" width="8.81640625" style="247"/>
    <col min="3816" max="3817" width="9.1796875" style="247" customWidth="1"/>
    <col min="3818" max="3818" width="8.81640625" style="247"/>
    <col min="3819" max="3819" width="9.1796875" style="247" customWidth="1"/>
    <col min="3820" max="3820" width="8.81640625" style="247"/>
    <col min="3821" max="3821" width="9.1796875" style="247" customWidth="1"/>
    <col min="3822" max="3822" width="8.81640625" style="247"/>
    <col min="3823" max="3823" width="9.1796875" style="247" customWidth="1"/>
    <col min="3824" max="3824" width="8.81640625" style="247"/>
    <col min="3825" max="3825" width="9.1796875" style="247" customWidth="1"/>
    <col min="3826" max="3826" width="8.81640625" style="247"/>
    <col min="3827" max="3827" width="9.1796875" style="247" customWidth="1"/>
    <col min="3828" max="3828" width="8.81640625" style="247"/>
    <col min="3829" max="3829" width="9.1796875" style="247" customWidth="1"/>
    <col min="3830" max="3830" width="8.81640625" style="247"/>
    <col min="3831" max="3831" width="9.1796875" style="247" customWidth="1"/>
    <col min="3832" max="3832" width="8.81640625" style="247"/>
    <col min="3833" max="3833" width="9.1796875" style="247" customWidth="1"/>
    <col min="3834" max="3834" width="8" style="247" bestFit="1" customWidth="1"/>
    <col min="3835" max="3835" width="8.6328125" style="247" bestFit="1" customWidth="1"/>
    <col min="3836" max="3836" width="5.1796875" style="247" bestFit="1" customWidth="1"/>
    <col min="3837" max="3837" width="5.6328125" style="247" bestFit="1" customWidth="1"/>
    <col min="3838" max="3838" width="6.1796875" style="247" bestFit="1" customWidth="1"/>
    <col min="3839" max="3839" width="4.81640625" style="247" bestFit="1" customWidth="1"/>
    <col min="3840" max="3840" width="9.1796875" style="247" customWidth="1"/>
    <col min="3841" max="3841" width="7" style="247" customWidth="1"/>
    <col min="3842" max="3842" width="8.81640625" style="247"/>
    <col min="3843" max="3843" width="4.453125" style="247" bestFit="1" customWidth="1"/>
    <col min="3844" max="3844" width="4.6328125" style="247" customWidth="1"/>
    <col min="3845" max="3845" width="8.81640625" style="247"/>
    <col min="3846" max="3846" width="5.453125" style="247" bestFit="1" customWidth="1"/>
    <col min="3847" max="3847" width="5.36328125" style="247" bestFit="1" customWidth="1"/>
    <col min="3848" max="3848" width="5" style="247" bestFit="1" customWidth="1"/>
    <col min="3849" max="3849" width="4.6328125" style="247" bestFit="1" customWidth="1"/>
    <col min="3850" max="3850" width="5.1796875" style="247" customWidth="1"/>
    <col min="3851" max="3851" width="8.6328125" style="247" bestFit="1" customWidth="1"/>
    <col min="3852" max="3852" width="9.453125" style="247" bestFit="1" customWidth="1"/>
    <col min="3853" max="3853" width="8.81640625" style="247"/>
    <col min="3854" max="3854" width="9.81640625" style="247" bestFit="1" customWidth="1"/>
    <col min="3855" max="4052" width="8.81640625" style="247"/>
    <col min="4053" max="4053" width="14.1796875" style="247" bestFit="1" customWidth="1"/>
    <col min="4054" max="4054" width="15.453125" style="247" bestFit="1" customWidth="1"/>
    <col min="4055" max="4055" width="12.453125" style="247" bestFit="1" customWidth="1"/>
    <col min="4056" max="4056" width="6" style="247" bestFit="1" customWidth="1"/>
    <col min="4057" max="4057" width="4.81640625" style="247" bestFit="1" customWidth="1"/>
    <col min="4058" max="4058" width="6.453125" style="247" bestFit="1" customWidth="1"/>
    <col min="4059" max="4059" width="5.36328125" style="247" bestFit="1" customWidth="1"/>
    <col min="4060" max="4060" width="5.6328125" style="247" bestFit="1" customWidth="1"/>
    <col min="4061" max="4061" width="8.81640625" style="247"/>
    <col min="4062" max="4062" width="10.1796875" style="247" bestFit="1" customWidth="1"/>
    <col min="4063" max="4063" width="8.81640625" style="247"/>
    <col min="4064" max="4064" width="9.1796875" style="247" customWidth="1"/>
    <col min="4065" max="4065" width="8.81640625" style="247"/>
    <col min="4066" max="4066" width="4.453125" style="247" bestFit="1" customWidth="1"/>
    <col min="4067" max="4067" width="8.81640625" style="247"/>
    <col min="4068" max="4068" width="9.81640625" style="247" bestFit="1" customWidth="1"/>
    <col min="4069" max="4069" width="8" style="247" bestFit="1" customWidth="1"/>
    <col min="4070" max="4070" width="8.6328125" style="247" customWidth="1"/>
    <col min="4071" max="4071" width="8.81640625" style="247"/>
    <col min="4072" max="4073" width="9.1796875" style="247" customWidth="1"/>
    <col min="4074" max="4074" width="8.81640625" style="247"/>
    <col min="4075" max="4075" width="9.1796875" style="247" customWidth="1"/>
    <col min="4076" max="4076" width="8.81640625" style="247"/>
    <col min="4077" max="4077" width="9.1796875" style="247" customWidth="1"/>
    <col min="4078" max="4078" width="8.81640625" style="247"/>
    <col min="4079" max="4079" width="9.1796875" style="247" customWidth="1"/>
    <col min="4080" max="4080" width="8.81640625" style="247"/>
    <col min="4081" max="4081" width="9.1796875" style="247" customWidth="1"/>
    <col min="4082" max="4082" width="8.81640625" style="247"/>
    <col min="4083" max="4083" width="9.1796875" style="247" customWidth="1"/>
    <col min="4084" max="4084" width="8.81640625" style="247"/>
    <col min="4085" max="4085" width="9.1796875" style="247" customWidth="1"/>
    <col min="4086" max="4086" width="8.81640625" style="247"/>
    <col min="4087" max="4087" width="9.1796875" style="247" customWidth="1"/>
    <col min="4088" max="4088" width="8.81640625" style="247"/>
    <col min="4089" max="4089" width="9.1796875" style="247" customWidth="1"/>
    <col min="4090" max="4090" width="8" style="247" bestFit="1" customWidth="1"/>
    <col min="4091" max="4091" width="8.6328125" style="247" bestFit="1" customWidth="1"/>
    <col min="4092" max="4092" width="5.1796875" style="247" bestFit="1" customWidth="1"/>
    <col min="4093" max="4093" width="5.6328125" style="247" bestFit="1" customWidth="1"/>
    <col min="4094" max="4094" width="6.1796875" style="247" bestFit="1" customWidth="1"/>
    <col min="4095" max="4095" width="4.81640625" style="247" bestFit="1" customWidth="1"/>
    <col min="4096" max="4096" width="9.1796875" style="247" customWidth="1"/>
    <col min="4097" max="4097" width="7" style="247" customWidth="1"/>
    <col min="4098" max="4098" width="8.81640625" style="247"/>
    <col min="4099" max="4099" width="4.453125" style="247" bestFit="1" customWidth="1"/>
    <col min="4100" max="4100" width="4.6328125" style="247" customWidth="1"/>
    <col min="4101" max="4101" width="8.81640625" style="247"/>
    <col min="4102" max="4102" width="5.453125" style="247" bestFit="1" customWidth="1"/>
    <col min="4103" max="4103" width="5.36328125" style="247" bestFit="1" customWidth="1"/>
    <col min="4104" max="4104" width="5" style="247" bestFit="1" customWidth="1"/>
    <col min="4105" max="4105" width="4.6328125" style="247" bestFit="1" customWidth="1"/>
    <col min="4106" max="4106" width="5.1796875" style="247" customWidth="1"/>
    <col min="4107" max="4107" width="8.6328125" style="247" bestFit="1" customWidth="1"/>
    <col min="4108" max="4108" width="9.453125" style="247" bestFit="1" customWidth="1"/>
    <col min="4109" max="4109" width="8.81640625" style="247"/>
    <col min="4110" max="4110" width="9.81640625" style="247" bestFit="1" customWidth="1"/>
    <col min="4111" max="4308" width="8.81640625" style="247"/>
    <col min="4309" max="4309" width="14.1796875" style="247" bestFit="1" customWidth="1"/>
    <col min="4310" max="4310" width="15.453125" style="247" bestFit="1" customWidth="1"/>
    <col min="4311" max="4311" width="12.453125" style="247" bestFit="1" customWidth="1"/>
    <col min="4312" max="4312" width="6" style="247" bestFit="1" customWidth="1"/>
    <col min="4313" max="4313" width="4.81640625" style="247" bestFit="1" customWidth="1"/>
    <col min="4314" max="4314" width="6.453125" style="247" bestFit="1" customWidth="1"/>
    <col min="4315" max="4315" width="5.36328125" style="247" bestFit="1" customWidth="1"/>
    <col min="4316" max="4316" width="5.6328125" style="247" bestFit="1" customWidth="1"/>
    <col min="4317" max="4317" width="8.81640625" style="247"/>
    <col min="4318" max="4318" width="10.1796875" style="247" bestFit="1" customWidth="1"/>
    <col min="4319" max="4319" width="8.81640625" style="247"/>
    <col min="4320" max="4320" width="9.1796875" style="247" customWidth="1"/>
    <col min="4321" max="4321" width="8.81640625" style="247"/>
    <col min="4322" max="4322" width="4.453125" style="247" bestFit="1" customWidth="1"/>
    <col min="4323" max="4323" width="8.81640625" style="247"/>
    <col min="4324" max="4324" width="9.81640625" style="247" bestFit="1" customWidth="1"/>
    <col min="4325" max="4325" width="8" style="247" bestFit="1" customWidth="1"/>
    <col min="4326" max="4326" width="8.6328125" style="247" customWidth="1"/>
    <col min="4327" max="4327" width="8.81640625" style="247"/>
    <col min="4328" max="4329" width="9.1796875" style="247" customWidth="1"/>
    <col min="4330" max="4330" width="8.81640625" style="247"/>
    <col min="4331" max="4331" width="9.1796875" style="247" customWidth="1"/>
    <col min="4332" max="4332" width="8.81640625" style="247"/>
    <col min="4333" max="4333" width="9.1796875" style="247" customWidth="1"/>
    <col min="4334" max="4334" width="8.81640625" style="247"/>
    <col min="4335" max="4335" width="9.1796875" style="247" customWidth="1"/>
    <col min="4336" max="4336" width="8.81640625" style="247"/>
    <col min="4337" max="4337" width="9.1796875" style="247" customWidth="1"/>
    <col min="4338" max="4338" width="8.81640625" style="247"/>
    <col min="4339" max="4339" width="9.1796875" style="247" customWidth="1"/>
    <col min="4340" max="4340" width="8.81640625" style="247"/>
    <col min="4341" max="4341" width="9.1796875" style="247" customWidth="1"/>
    <col min="4342" max="4342" width="8.81640625" style="247"/>
    <col min="4343" max="4343" width="9.1796875" style="247" customWidth="1"/>
    <col min="4344" max="4344" width="8.81640625" style="247"/>
    <col min="4345" max="4345" width="9.1796875" style="247" customWidth="1"/>
    <col min="4346" max="4346" width="8" style="247" bestFit="1" customWidth="1"/>
    <col min="4347" max="4347" width="8.6328125" style="247" bestFit="1" customWidth="1"/>
    <col min="4348" max="4348" width="5.1796875" style="247" bestFit="1" customWidth="1"/>
    <col min="4349" max="4349" width="5.6328125" style="247" bestFit="1" customWidth="1"/>
    <col min="4350" max="4350" width="6.1796875" style="247" bestFit="1" customWidth="1"/>
    <col min="4351" max="4351" width="4.81640625" style="247" bestFit="1" customWidth="1"/>
    <col min="4352" max="4352" width="9.1796875" style="247" customWidth="1"/>
    <col min="4353" max="4353" width="7" style="247" customWidth="1"/>
    <col min="4354" max="4354" width="8.81640625" style="247"/>
    <col min="4355" max="4355" width="4.453125" style="247" bestFit="1" customWidth="1"/>
    <col min="4356" max="4356" width="4.6328125" style="247" customWidth="1"/>
    <col min="4357" max="4357" width="8.81640625" style="247"/>
    <col min="4358" max="4358" width="5.453125" style="247" bestFit="1" customWidth="1"/>
    <col min="4359" max="4359" width="5.36328125" style="247" bestFit="1" customWidth="1"/>
    <col min="4360" max="4360" width="5" style="247" bestFit="1" customWidth="1"/>
    <col min="4361" max="4361" width="4.6328125" style="247" bestFit="1" customWidth="1"/>
    <col min="4362" max="4362" width="5.1796875" style="247" customWidth="1"/>
    <col min="4363" max="4363" width="8.6328125" style="247" bestFit="1" customWidth="1"/>
    <col min="4364" max="4364" width="9.453125" style="247" bestFit="1" customWidth="1"/>
    <col min="4365" max="4365" width="8.81640625" style="247"/>
    <col min="4366" max="4366" width="9.81640625" style="247" bestFit="1" customWidth="1"/>
    <col min="4367" max="4564" width="8.81640625" style="247"/>
    <col min="4565" max="4565" width="14.1796875" style="247" bestFit="1" customWidth="1"/>
    <col min="4566" max="4566" width="15.453125" style="247" bestFit="1" customWidth="1"/>
    <col min="4567" max="4567" width="12.453125" style="247" bestFit="1" customWidth="1"/>
    <col min="4568" max="4568" width="6" style="247" bestFit="1" customWidth="1"/>
    <col min="4569" max="4569" width="4.81640625" style="247" bestFit="1" customWidth="1"/>
    <col min="4570" max="4570" width="6.453125" style="247" bestFit="1" customWidth="1"/>
    <col min="4571" max="4571" width="5.36328125" style="247" bestFit="1" customWidth="1"/>
    <col min="4572" max="4572" width="5.6328125" style="247" bestFit="1" customWidth="1"/>
    <col min="4573" max="4573" width="8.81640625" style="247"/>
    <col min="4574" max="4574" width="10.1796875" style="247" bestFit="1" customWidth="1"/>
    <col min="4575" max="4575" width="8.81640625" style="247"/>
    <col min="4576" max="4576" width="9.1796875" style="247" customWidth="1"/>
    <col min="4577" max="4577" width="8.81640625" style="247"/>
    <col min="4578" max="4578" width="4.453125" style="247" bestFit="1" customWidth="1"/>
    <col min="4579" max="4579" width="8.81640625" style="247"/>
    <col min="4580" max="4580" width="9.81640625" style="247" bestFit="1" customWidth="1"/>
    <col min="4581" max="4581" width="8" style="247" bestFit="1" customWidth="1"/>
    <col min="4582" max="4582" width="8.6328125" style="247" customWidth="1"/>
    <col min="4583" max="4583" width="8.81640625" style="247"/>
    <col min="4584" max="4585" width="9.1796875" style="247" customWidth="1"/>
    <col min="4586" max="4586" width="8.81640625" style="247"/>
    <col min="4587" max="4587" width="9.1796875" style="247" customWidth="1"/>
    <col min="4588" max="4588" width="8.81640625" style="247"/>
    <col min="4589" max="4589" width="9.1796875" style="247" customWidth="1"/>
    <col min="4590" max="4590" width="8.81640625" style="247"/>
    <col min="4591" max="4591" width="9.1796875" style="247" customWidth="1"/>
    <col min="4592" max="4592" width="8.81640625" style="247"/>
    <col min="4593" max="4593" width="9.1796875" style="247" customWidth="1"/>
    <col min="4594" max="4594" width="8.81640625" style="247"/>
    <col min="4595" max="4595" width="9.1796875" style="247" customWidth="1"/>
    <col min="4596" max="4596" width="8.81640625" style="247"/>
    <col min="4597" max="4597" width="9.1796875" style="247" customWidth="1"/>
    <col min="4598" max="4598" width="8.81640625" style="247"/>
    <col min="4599" max="4599" width="9.1796875" style="247" customWidth="1"/>
    <col min="4600" max="4600" width="8.81640625" style="247"/>
    <col min="4601" max="4601" width="9.1796875" style="247" customWidth="1"/>
    <col min="4602" max="4602" width="8" style="247" bestFit="1" customWidth="1"/>
    <col min="4603" max="4603" width="8.6328125" style="247" bestFit="1" customWidth="1"/>
    <col min="4604" max="4604" width="5.1796875" style="247" bestFit="1" customWidth="1"/>
    <col min="4605" max="4605" width="5.6328125" style="247" bestFit="1" customWidth="1"/>
    <col min="4606" max="4606" width="6.1796875" style="247" bestFit="1" customWidth="1"/>
    <col min="4607" max="4607" width="4.81640625" style="247" bestFit="1" customWidth="1"/>
    <col min="4608" max="4608" width="9.1796875" style="247" customWidth="1"/>
    <col min="4609" max="4609" width="7" style="247" customWidth="1"/>
    <col min="4610" max="4610" width="8.81640625" style="247"/>
    <col min="4611" max="4611" width="4.453125" style="247" bestFit="1" customWidth="1"/>
    <col min="4612" max="4612" width="4.6328125" style="247" customWidth="1"/>
    <col min="4613" max="4613" width="8.81640625" style="247"/>
    <col min="4614" max="4614" width="5.453125" style="247" bestFit="1" customWidth="1"/>
    <col min="4615" max="4615" width="5.36328125" style="247" bestFit="1" customWidth="1"/>
    <col min="4616" max="4616" width="5" style="247" bestFit="1" customWidth="1"/>
    <col min="4617" max="4617" width="4.6328125" style="247" bestFit="1" customWidth="1"/>
    <col min="4618" max="4618" width="5.1796875" style="247" customWidth="1"/>
    <col min="4619" max="4619" width="8.6328125" style="247" bestFit="1" customWidth="1"/>
    <col min="4620" max="4620" width="9.453125" style="247" bestFit="1" customWidth="1"/>
    <col min="4621" max="4621" width="8.81640625" style="247"/>
    <col min="4622" max="4622" width="9.81640625" style="247" bestFit="1" customWidth="1"/>
    <col min="4623" max="4820" width="8.81640625" style="247"/>
    <col min="4821" max="4821" width="14.1796875" style="247" bestFit="1" customWidth="1"/>
    <col min="4822" max="4822" width="15.453125" style="247" bestFit="1" customWidth="1"/>
    <col min="4823" max="4823" width="12.453125" style="247" bestFit="1" customWidth="1"/>
    <col min="4824" max="4824" width="6" style="247" bestFit="1" customWidth="1"/>
    <col min="4825" max="4825" width="4.81640625" style="247" bestFit="1" customWidth="1"/>
    <col min="4826" max="4826" width="6.453125" style="247" bestFit="1" customWidth="1"/>
    <col min="4827" max="4827" width="5.36328125" style="247" bestFit="1" customWidth="1"/>
    <col min="4828" max="4828" width="5.6328125" style="247" bestFit="1" customWidth="1"/>
    <col min="4829" max="4829" width="8.81640625" style="247"/>
    <col min="4830" max="4830" width="10.1796875" style="247" bestFit="1" customWidth="1"/>
    <col min="4831" max="4831" width="8.81640625" style="247"/>
    <col min="4832" max="4832" width="9.1796875" style="247" customWidth="1"/>
    <col min="4833" max="4833" width="8.81640625" style="247"/>
    <col min="4834" max="4834" width="4.453125" style="247" bestFit="1" customWidth="1"/>
    <col min="4835" max="4835" width="8.81640625" style="247"/>
    <col min="4836" max="4836" width="9.81640625" style="247" bestFit="1" customWidth="1"/>
    <col min="4837" max="4837" width="8" style="247" bestFit="1" customWidth="1"/>
    <col min="4838" max="4838" width="8.6328125" style="247" customWidth="1"/>
    <col min="4839" max="4839" width="8.81640625" style="247"/>
    <col min="4840" max="4841" width="9.1796875" style="247" customWidth="1"/>
    <col min="4842" max="4842" width="8.81640625" style="247"/>
    <col min="4843" max="4843" width="9.1796875" style="247" customWidth="1"/>
    <col min="4844" max="4844" width="8.81640625" style="247"/>
    <col min="4845" max="4845" width="9.1796875" style="247" customWidth="1"/>
    <col min="4846" max="4846" width="8.81640625" style="247"/>
    <col min="4847" max="4847" width="9.1796875" style="247" customWidth="1"/>
    <col min="4848" max="4848" width="8.81640625" style="247"/>
    <col min="4849" max="4849" width="9.1796875" style="247" customWidth="1"/>
    <col min="4850" max="4850" width="8.81640625" style="247"/>
    <col min="4851" max="4851" width="9.1796875" style="247" customWidth="1"/>
    <col min="4852" max="4852" width="8.81640625" style="247"/>
    <col min="4853" max="4853" width="9.1796875" style="247" customWidth="1"/>
    <col min="4854" max="4854" width="8.81640625" style="247"/>
    <col min="4855" max="4855" width="9.1796875" style="247" customWidth="1"/>
    <col min="4856" max="4856" width="8.81640625" style="247"/>
    <col min="4857" max="4857" width="9.1796875" style="247" customWidth="1"/>
    <col min="4858" max="4858" width="8" style="247" bestFit="1" customWidth="1"/>
    <col min="4859" max="4859" width="8.6328125" style="247" bestFit="1" customWidth="1"/>
    <col min="4860" max="4860" width="5.1796875" style="247" bestFit="1" customWidth="1"/>
    <col min="4861" max="4861" width="5.6328125" style="247" bestFit="1" customWidth="1"/>
    <col min="4862" max="4862" width="6.1796875" style="247" bestFit="1" customWidth="1"/>
    <col min="4863" max="4863" width="4.81640625" style="247" bestFit="1" customWidth="1"/>
    <col min="4864" max="4864" width="9.1796875" style="247" customWidth="1"/>
    <col min="4865" max="4865" width="7" style="247" customWidth="1"/>
    <col min="4866" max="4866" width="8.81640625" style="247"/>
    <col min="4867" max="4867" width="4.453125" style="247" bestFit="1" customWidth="1"/>
    <col min="4868" max="4868" width="4.6328125" style="247" customWidth="1"/>
    <col min="4869" max="4869" width="8.81640625" style="247"/>
    <col min="4870" max="4870" width="5.453125" style="247" bestFit="1" customWidth="1"/>
    <col min="4871" max="4871" width="5.36328125" style="247" bestFit="1" customWidth="1"/>
    <col min="4872" max="4872" width="5" style="247" bestFit="1" customWidth="1"/>
    <col min="4873" max="4873" width="4.6328125" style="247" bestFit="1" customWidth="1"/>
    <col min="4874" max="4874" width="5.1796875" style="247" customWidth="1"/>
    <col min="4875" max="4875" width="8.6328125" style="247" bestFit="1" customWidth="1"/>
    <col min="4876" max="4876" width="9.453125" style="247" bestFit="1" customWidth="1"/>
    <col min="4877" max="4877" width="8.81640625" style="247"/>
    <col min="4878" max="4878" width="9.81640625" style="247" bestFit="1" customWidth="1"/>
    <col min="4879" max="5076" width="8.81640625" style="247"/>
    <col min="5077" max="5077" width="14.1796875" style="247" bestFit="1" customWidth="1"/>
    <col min="5078" max="5078" width="15.453125" style="247" bestFit="1" customWidth="1"/>
    <col min="5079" max="5079" width="12.453125" style="247" bestFit="1" customWidth="1"/>
    <col min="5080" max="5080" width="6" style="247" bestFit="1" customWidth="1"/>
    <col min="5081" max="5081" width="4.81640625" style="247" bestFit="1" customWidth="1"/>
    <col min="5082" max="5082" width="6.453125" style="247" bestFit="1" customWidth="1"/>
    <col min="5083" max="5083" width="5.36328125" style="247" bestFit="1" customWidth="1"/>
    <col min="5084" max="5084" width="5.6328125" style="247" bestFit="1" customWidth="1"/>
    <col min="5085" max="5085" width="8.81640625" style="247"/>
    <col min="5086" max="5086" width="10.1796875" style="247" bestFit="1" customWidth="1"/>
    <col min="5087" max="5087" width="8.81640625" style="247"/>
    <col min="5088" max="5088" width="9.1796875" style="247" customWidth="1"/>
    <col min="5089" max="5089" width="8.81640625" style="247"/>
    <col min="5090" max="5090" width="4.453125" style="247" bestFit="1" customWidth="1"/>
    <col min="5091" max="5091" width="8.81640625" style="247"/>
    <col min="5092" max="5092" width="9.81640625" style="247" bestFit="1" customWidth="1"/>
    <col min="5093" max="5093" width="8" style="247" bestFit="1" customWidth="1"/>
    <col min="5094" max="5094" width="8.6328125" style="247" customWidth="1"/>
    <col min="5095" max="5095" width="8.81640625" style="247"/>
    <col min="5096" max="5097" width="9.1796875" style="247" customWidth="1"/>
    <col min="5098" max="5098" width="8.81640625" style="247"/>
    <col min="5099" max="5099" width="9.1796875" style="247" customWidth="1"/>
    <col min="5100" max="5100" width="8.81640625" style="247"/>
    <col min="5101" max="5101" width="9.1796875" style="247" customWidth="1"/>
    <col min="5102" max="5102" width="8.81640625" style="247"/>
    <col min="5103" max="5103" width="9.1796875" style="247" customWidth="1"/>
    <col min="5104" max="5104" width="8.81640625" style="247"/>
    <col min="5105" max="5105" width="9.1796875" style="247" customWidth="1"/>
    <col min="5106" max="5106" width="8.81640625" style="247"/>
    <col min="5107" max="5107" width="9.1796875" style="247" customWidth="1"/>
    <col min="5108" max="5108" width="8.81640625" style="247"/>
    <col min="5109" max="5109" width="9.1796875" style="247" customWidth="1"/>
    <col min="5110" max="5110" width="8.81640625" style="247"/>
    <col min="5111" max="5111" width="9.1796875" style="247" customWidth="1"/>
    <col min="5112" max="5112" width="8.81640625" style="247"/>
    <col min="5113" max="5113" width="9.1796875" style="247" customWidth="1"/>
    <col min="5114" max="5114" width="8" style="247" bestFit="1" customWidth="1"/>
    <col min="5115" max="5115" width="8.6328125" style="247" bestFit="1" customWidth="1"/>
    <col min="5116" max="5116" width="5.1796875" style="247" bestFit="1" customWidth="1"/>
    <col min="5117" max="5117" width="5.6328125" style="247" bestFit="1" customWidth="1"/>
    <col min="5118" max="5118" width="6.1796875" style="247" bestFit="1" customWidth="1"/>
    <col min="5119" max="5119" width="4.81640625" style="247" bestFit="1" customWidth="1"/>
    <col min="5120" max="5120" width="9.1796875" style="247" customWidth="1"/>
    <col min="5121" max="5121" width="7" style="247" customWidth="1"/>
    <col min="5122" max="5122" width="8.81640625" style="247"/>
    <col min="5123" max="5123" width="4.453125" style="247" bestFit="1" customWidth="1"/>
    <col min="5124" max="5124" width="4.6328125" style="247" customWidth="1"/>
    <col min="5125" max="5125" width="8.81640625" style="247"/>
    <col min="5126" max="5126" width="5.453125" style="247" bestFit="1" customWidth="1"/>
    <col min="5127" max="5127" width="5.36328125" style="247" bestFit="1" customWidth="1"/>
    <col min="5128" max="5128" width="5" style="247" bestFit="1" customWidth="1"/>
    <col min="5129" max="5129" width="4.6328125" style="247" bestFit="1" customWidth="1"/>
    <col min="5130" max="5130" width="5.1796875" style="247" customWidth="1"/>
    <col min="5131" max="5131" width="8.6328125" style="247" bestFit="1" customWidth="1"/>
    <col min="5132" max="5132" width="9.453125" style="247" bestFit="1" customWidth="1"/>
    <col min="5133" max="5133" width="8.81640625" style="247"/>
    <col min="5134" max="5134" width="9.81640625" style="247" bestFit="1" customWidth="1"/>
    <col min="5135" max="5332" width="8.81640625" style="247"/>
    <col min="5333" max="5333" width="14.1796875" style="247" bestFit="1" customWidth="1"/>
    <col min="5334" max="5334" width="15.453125" style="247" bestFit="1" customWidth="1"/>
    <col min="5335" max="5335" width="12.453125" style="247" bestFit="1" customWidth="1"/>
    <col min="5336" max="5336" width="6" style="247" bestFit="1" customWidth="1"/>
    <col min="5337" max="5337" width="4.81640625" style="247" bestFit="1" customWidth="1"/>
    <col min="5338" max="5338" width="6.453125" style="247" bestFit="1" customWidth="1"/>
    <col min="5339" max="5339" width="5.36328125" style="247" bestFit="1" customWidth="1"/>
    <col min="5340" max="5340" width="5.6328125" style="247" bestFit="1" customWidth="1"/>
    <col min="5341" max="5341" width="8.81640625" style="247"/>
    <col min="5342" max="5342" width="10.1796875" style="247" bestFit="1" customWidth="1"/>
    <col min="5343" max="5343" width="8.81640625" style="247"/>
    <col min="5344" max="5344" width="9.1796875" style="247" customWidth="1"/>
    <col min="5345" max="5345" width="8.81640625" style="247"/>
    <col min="5346" max="5346" width="4.453125" style="247" bestFit="1" customWidth="1"/>
    <col min="5347" max="5347" width="8.81640625" style="247"/>
    <col min="5348" max="5348" width="9.81640625" style="247" bestFit="1" customWidth="1"/>
    <col min="5349" max="5349" width="8" style="247" bestFit="1" customWidth="1"/>
    <col min="5350" max="5350" width="8.6328125" style="247" customWidth="1"/>
    <col min="5351" max="5351" width="8.81640625" style="247"/>
    <col min="5352" max="5353" width="9.1796875" style="247" customWidth="1"/>
    <col min="5354" max="5354" width="8.81640625" style="247"/>
    <col min="5355" max="5355" width="9.1796875" style="247" customWidth="1"/>
    <col min="5356" max="5356" width="8.81640625" style="247"/>
    <col min="5357" max="5357" width="9.1796875" style="247" customWidth="1"/>
    <col min="5358" max="5358" width="8.81640625" style="247"/>
    <col min="5359" max="5359" width="9.1796875" style="247" customWidth="1"/>
    <col min="5360" max="5360" width="8.81640625" style="247"/>
    <col min="5361" max="5361" width="9.1796875" style="247" customWidth="1"/>
    <col min="5362" max="5362" width="8.81640625" style="247"/>
    <col min="5363" max="5363" width="9.1796875" style="247" customWidth="1"/>
    <col min="5364" max="5364" width="8.81640625" style="247"/>
    <col min="5365" max="5365" width="9.1796875" style="247" customWidth="1"/>
    <col min="5366" max="5366" width="8.81640625" style="247"/>
    <col min="5367" max="5367" width="9.1796875" style="247" customWidth="1"/>
    <col min="5368" max="5368" width="8.81640625" style="247"/>
    <col min="5369" max="5369" width="9.1796875" style="247" customWidth="1"/>
    <col min="5370" max="5370" width="8" style="247" bestFit="1" customWidth="1"/>
    <col min="5371" max="5371" width="8.6328125" style="247" bestFit="1" customWidth="1"/>
    <col min="5372" max="5372" width="5.1796875" style="247" bestFit="1" customWidth="1"/>
    <col min="5373" max="5373" width="5.6328125" style="247" bestFit="1" customWidth="1"/>
    <col min="5374" max="5374" width="6.1796875" style="247" bestFit="1" customWidth="1"/>
    <col min="5375" max="5375" width="4.81640625" style="247" bestFit="1" customWidth="1"/>
    <col min="5376" max="5376" width="9.1796875" style="247" customWidth="1"/>
    <col min="5377" max="5377" width="7" style="247" customWidth="1"/>
    <col min="5378" max="5378" width="8.81640625" style="247"/>
    <col min="5379" max="5379" width="4.453125" style="247" bestFit="1" customWidth="1"/>
    <col min="5380" max="5380" width="4.6328125" style="247" customWidth="1"/>
    <col min="5381" max="5381" width="8.81640625" style="247"/>
    <col min="5382" max="5382" width="5.453125" style="247" bestFit="1" customWidth="1"/>
    <col min="5383" max="5383" width="5.36328125" style="247" bestFit="1" customWidth="1"/>
    <col min="5384" max="5384" width="5" style="247" bestFit="1" customWidth="1"/>
    <col min="5385" max="5385" width="4.6328125" style="247" bestFit="1" customWidth="1"/>
    <col min="5386" max="5386" width="5.1796875" style="247" customWidth="1"/>
    <col min="5387" max="5387" width="8.6328125" style="247" bestFit="1" customWidth="1"/>
    <col min="5388" max="5388" width="9.453125" style="247" bestFit="1" customWidth="1"/>
    <col min="5389" max="5389" width="8.81640625" style="247"/>
    <col min="5390" max="5390" width="9.81640625" style="247" bestFit="1" customWidth="1"/>
    <col min="5391" max="5588" width="8.81640625" style="247"/>
    <col min="5589" max="5589" width="14.1796875" style="247" bestFit="1" customWidth="1"/>
    <col min="5590" max="5590" width="15.453125" style="247" bestFit="1" customWidth="1"/>
    <col min="5591" max="5591" width="12.453125" style="247" bestFit="1" customWidth="1"/>
    <col min="5592" max="5592" width="6" style="247" bestFit="1" customWidth="1"/>
    <col min="5593" max="5593" width="4.81640625" style="247" bestFit="1" customWidth="1"/>
    <col min="5594" max="5594" width="6.453125" style="247" bestFit="1" customWidth="1"/>
    <col min="5595" max="5595" width="5.36328125" style="247" bestFit="1" customWidth="1"/>
    <col min="5596" max="5596" width="5.6328125" style="247" bestFit="1" customWidth="1"/>
    <col min="5597" max="5597" width="8.81640625" style="247"/>
    <col min="5598" max="5598" width="10.1796875" style="247" bestFit="1" customWidth="1"/>
    <col min="5599" max="5599" width="8.81640625" style="247"/>
    <col min="5600" max="5600" width="9.1796875" style="247" customWidth="1"/>
    <col min="5601" max="5601" width="8.81640625" style="247"/>
    <col min="5602" max="5602" width="4.453125" style="247" bestFit="1" customWidth="1"/>
    <col min="5603" max="5603" width="8.81640625" style="247"/>
    <col min="5604" max="5604" width="9.81640625" style="247" bestFit="1" customWidth="1"/>
    <col min="5605" max="5605" width="8" style="247" bestFit="1" customWidth="1"/>
    <col min="5606" max="5606" width="8.6328125" style="247" customWidth="1"/>
    <col min="5607" max="5607" width="8.81640625" style="247"/>
    <col min="5608" max="5609" width="9.1796875" style="247" customWidth="1"/>
    <col min="5610" max="5610" width="8.81640625" style="247"/>
    <col min="5611" max="5611" width="9.1796875" style="247" customWidth="1"/>
    <col min="5612" max="5612" width="8.81640625" style="247"/>
    <col min="5613" max="5613" width="9.1796875" style="247" customWidth="1"/>
    <col min="5614" max="5614" width="8.81640625" style="247"/>
    <col min="5615" max="5615" width="9.1796875" style="247" customWidth="1"/>
    <col min="5616" max="5616" width="8.81640625" style="247"/>
    <col min="5617" max="5617" width="9.1796875" style="247" customWidth="1"/>
    <col min="5618" max="5618" width="8.81640625" style="247"/>
    <col min="5619" max="5619" width="9.1796875" style="247" customWidth="1"/>
    <col min="5620" max="5620" width="8.81640625" style="247"/>
    <col min="5621" max="5621" width="9.1796875" style="247" customWidth="1"/>
    <col min="5622" max="5622" width="8.81640625" style="247"/>
    <col min="5623" max="5623" width="9.1796875" style="247" customWidth="1"/>
    <col min="5624" max="5624" width="8.81640625" style="247"/>
    <col min="5625" max="5625" width="9.1796875" style="247" customWidth="1"/>
    <col min="5626" max="5626" width="8" style="247" bestFit="1" customWidth="1"/>
    <col min="5627" max="5627" width="8.6328125" style="247" bestFit="1" customWidth="1"/>
    <col min="5628" max="5628" width="5.1796875" style="247" bestFit="1" customWidth="1"/>
    <col min="5629" max="5629" width="5.6328125" style="247" bestFit="1" customWidth="1"/>
    <col min="5630" max="5630" width="6.1796875" style="247" bestFit="1" customWidth="1"/>
    <col min="5631" max="5631" width="4.81640625" style="247" bestFit="1" customWidth="1"/>
    <col min="5632" max="5632" width="9.1796875" style="247" customWidth="1"/>
    <col min="5633" max="5633" width="7" style="247" customWidth="1"/>
    <col min="5634" max="5634" width="8.81640625" style="247"/>
    <col min="5635" max="5635" width="4.453125" style="247" bestFit="1" customWidth="1"/>
    <col min="5636" max="5636" width="4.6328125" style="247" customWidth="1"/>
    <col min="5637" max="5637" width="8.81640625" style="247"/>
    <col min="5638" max="5638" width="5.453125" style="247" bestFit="1" customWidth="1"/>
    <col min="5639" max="5639" width="5.36328125" style="247" bestFit="1" customWidth="1"/>
    <col min="5640" max="5640" width="5" style="247" bestFit="1" customWidth="1"/>
    <col min="5641" max="5641" width="4.6328125" style="247" bestFit="1" customWidth="1"/>
    <col min="5642" max="5642" width="5.1796875" style="247" customWidth="1"/>
    <col min="5643" max="5643" width="8.6328125" style="247" bestFit="1" customWidth="1"/>
    <col min="5644" max="5644" width="9.453125" style="247" bestFit="1" customWidth="1"/>
    <col min="5645" max="5645" width="8.81640625" style="247"/>
    <col min="5646" max="5646" width="9.81640625" style="247" bestFit="1" customWidth="1"/>
    <col min="5647" max="5844" width="8.81640625" style="247"/>
    <col min="5845" max="5845" width="14.1796875" style="247" bestFit="1" customWidth="1"/>
    <col min="5846" max="5846" width="15.453125" style="247" bestFit="1" customWidth="1"/>
    <col min="5847" max="5847" width="12.453125" style="247" bestFit="1" customWidth="1"/>
    <col min="5848" max="5848" width="6" style="247" bestFit="1" customWidth="1"/>
    <col min="5849" max="5849" width="4.81640625" style="247" bestFit="1" customWidth="1"/>
    <col min="5850" max="5850" width="6.453125" style="247" bestFit="1" customWidth="1"/>
    <col min="5851" max="5851" width="5.36328125" style="247" bestFit="1" customWidth="1"/>
    <col min="5852" max="5852" width="5.6328125" style="247" bestFit="1" customWidth="1"/>
    <col min="5853" max="5853" width="8.81640625" style="247"/>
    <col min="5854" max="5854" width="10.1796875" style="247" bestFit="1" customWidth="1"/>
    <col min="5855" max="5855" width="8.81640625" style="247"/>
    <col min="5856" max="5856" width="9.1796875" style="247" customWidth="1"/>
    <col min="5857" max="5857" width="8.81640625" style="247"/>
    <col min="5858" max="5858" width="4.453125" style="247" bestFit="1" customWidth="1"/>
    <col min="5859" max="5859" width="8.81640625" style="247"/>
    <col min="5860" max="5860" width="9.81640625" style="247" bestFit="1" customWidth="1"/>
    <col min="5861" max="5861" width="8" style="247" bestFit="1" customWidth="1"/>
    <col min="5862" max="5862" width="8.6328125" style="247" customWidth="1"/>
    <col min="5863" max="5863" width="8.81640625" style="247"/>
    <col min="5864" max="5865" width="9.1796875" style="247" customWidth="1"/>
    <col min="5866" max="5866" width="8.81640625" style="247"/>
    <col min="5867" max="5867" width="9.1796875" style="247" customWidth="1"/>
    <col min="5868" max="5868" width="8.81640625" style="247"/>
    <col min="5869" max="5869" width="9.1796875" style="247" customWidth="1"/>
    <col min="5870" max="5870" width="8.81640625" style="247"/>
    <col min="5871" max="5871" width="9.1796875" style="247" customWidth="1"/>
    <col min="5872" max="5872" width="8.81640625" style="247"/>
    <col min="5873" max="5873" width="9.1796875" style="247" customWidth="1"/>
    <col min="5874" max="5874" width="8.81640625" style="247"/>
    <col min="5875" max="5875" width="9.1796875" style="247" customWidth="1"/>
    <col min="5876" max="5876" width="8.81640625" style="247"/>
    <col min="5877" max="5877" width="9.1796875" style="247" customWidth="1"/>
    <col min="5878" max="5878" width="8.81640625" style="247"/>
    <col min="5879" max="5879" width="9.1796875" style="247" customWidth="1"/>
    <col min="5880" max="5880" width="8.81640625" style="247"/>
    <col min="5881" max="5881" width="9.1796875" style="247" customWidth="1"/>
    <col min="5882" max="5882" width="8" style="247" bestFit="1" customWidth="1"/>
    <col min="5883" max="5883" width="8.6328125" style="247" bestFit="1" customWidth="1"/>
    <col min="5884" max="5884" width="5.1796875" style="247" bestFit="1" customWidth="1"/>
    <col min="5885" max="5885" width="5.6328125" style="247" bestFit="1" customWidth="1"/>
    <col min="5886" max="5886" width="6.1796875" style="247" bestFit="1" customWidth="1"/>
    <col min="5887" max="5887" width="4.81640625" style="247" bestFit="1" customWidth="1"/>
    <col min="5888" max="5888" width="9.1796875" style="247" customWidth="1"/>
    <col min="5889" max="5889" width="7" style="247" customWidth="1"/>
    <col min="5890" max="5890" width="8.81640625" style="247"/>
    <col min="5891" max="5891" width="4.453125" style="247" bestFit="1" customWidth="1"/>
    <col min="5892" max="5892" width="4.6328125" style="247" customWidth="1"/>
    <col min="5893" max="5893" width="8.81640625" style="247"/>
    <col min="5894" max="5894" width="5.453125" style="247" bestFit="1" customWidth="1"/>
    <col min="5895" max="5895" width="5.36328125" style="247" bestFit="1" customWidth="1"/>
    <col min="5896" max="5896" width="5" style="247" bestFit="1" customWidth="1"/>
    <col min="5897" max="5897" width="4.6328125" style="247" bestFit="1" customWidth="1"/>
    <col min="5898" max="5898" width="5.1796875" style="247" customWidth="1"/>
    <col min="5899" max="5899" width="8.6328125" style="247" bestFit="1" customWidth="1"/>
    <col min="5900" max="5900" width="9.453125" style="247" bestFit="1" customWidth="1"/>
    <col min="5901" max="5901" width="8.81640625" style="247"/>
    <col min="5902" max="5902" width="9.81640625" style="247" bestFit="1" customWidth="1"/>
    <col min="5903" max="6100" width="8.81640625" style="247"/>
    <col min="6101" max="6101" width="14.1796875" style="247" bestFit="1" customWidth="1"/>
    <col min="6102" max="6102" width="15.453125" style="247" bestFit="1" customWidth="1"/>
    <col min="6103" max="6103" width="12.453125" style="247" bestFit="1" customWidth="1"/>
    <col min="6104" max="6104" width="6" style="247" bestFit="1" customWidth="1"/>
    <col min="6105" max="6105" width="4.81640625" style="247" bestFit="1" customWidth="1"/>
    <col min="6106" max="6106" width="6.453125" style="247" bestFit="1" customWidth="1"/>
    <col min="6107" max="6107" width="5.36328125" style="247" bestFit="1" customWidth="1"/>
    <col min="6108" max="6108" width="5.6328125" style="247" bestFit="1" customWidth="1"/>
    <col min="6109" max="6109" width="8.81640625" style="247"/>
    <col min="6110" max="6110" width="10.1796875" style="247" bestFit="1" customWidth="1"/>
    <col min="6111" max="6111" width="8.81640625" style="247"/>
    <col min="6112" max="6112" width="9.1796875" style="247" customWidth="1"/>
    <col min="6113" max="6113" width="8.81640625" style="247"/>
    <col min="6114" max="6114" width="4.453125" style="247" bestFit="1" customWidth="1"/>
    <col min="6115" max="6115" width="8.81640625" style="247"/>
    <col min="6116" max="6116" width="9.81640625" style="247" bestFit="1" customWidth="1"/>
    <col min="6117" max="6117" width="8" style="247" bestFit="1" customWidth="1"/>
    <col min="6118" max="6118" width="8.6328125" style="247" customWidth="1"/>
    <col min="6119" max="6119" width="8.81640625" style="247"/>
    <col min="6120" max="6121" width="9.1796875" style="247" customWidth="1"/>
    <col min="6122" max="6122" width="8.81640625" style="247"/>
    <col min="6123" max="6123" width="9.1796875" style="247" customWidth="1"/>
    <col min="6124" max="6124" width="8.81640625" style="247"/>
    <col min="6125" max="6125" width="9.1796875" style="247" customWidth="1"/>
    <col min="6126" max="6126" width="8.81640625" style="247"/>
    <col min="6127" max="6127" width="9.1796875" style="247" customWidth="1"/>
    <col min="6128" max="6128" width="8.81640625" style="247"/>
    <col min="6129" max="6129" width="9.1796875" style="247" customWidth="1"/>
    <col min="6130" max="6130" width="8.81640625" style="247"/>
    <col min="6131" max="6131" width="9.1796875" style="247" customWidth="1"/>
    <col min="6132" max="6132" width="8.81640625" style="247"/>
    <col min="6133" max="6133" width="9.1796875" style="247" customWidth="1"/>
    <col min="6134" max="6134" width="8.81640625" style="247"/>
    <col min="6135" max="6135" width="9.1796875" style="247" customWidth="1"/>
    <col min="6136" max="6136" width="8.81640625" style="247"/>
    <col min="6137" max="6137" width="9.1796875" style="247" customWidth="1"/>
    <col min="6138" max="6138" width="8" style="247" bestFit="1" customWidth="1"/>
    <col min="6139" max="6139" width="8.6328125" style="247" bestFit="1" customWidth="1"/>
    <col min="6140" max="6140" width="5.1796875" style="247" bestFit="1" customWidth="1"/>
    <col min="6141" max="6141" width="5.6328125" style="247" bestFit="1" customWidth="1"/>
    <col min="6142" max="6142" width="6.1796875" style="247" bestFit="1" customWidth="1"/>
    <col min="6143" max="6143" width="4.81640625" style="247" bestFit="1" customWidth="1"/>
    <col min="6144" max="6144" width="9.1796875" style="247" customWidth="1"/>
    <col min="6145" max="6145" width="7" style="247" customWidth="1"/>
    <col min="6146" max="6146" width="8.81640625" style="247"/>
    <col min="6147" max="6147" width="4.453125" style="247" bestFit="1" customWidth="1"/>
    <col min="6148" max="6148" width="4.6328125" style="247" customWidth="1"/>
    <col min="6149" max="6149" width="8.81640625" style="247"/>
    <col min="6150" max="6150" width="5.453125" style="247" bestFit="1" customWidth="1"/>
    <col min="6151" max="6151" width="5.36328125" style="247" bestFit="1" customWidth="1"/>
    <col min="6152" max="6152" width="5" style="247" bestFit="1" customWidth="1"/>
    <col min="6153" max="6153" width="4.6328125" style="247" bestFit="1" customWidth="1"/>
    <col min="6154" max="6154" width="5.1796875" style="247" customWidth="1"/>
    <col min="6155" max="6155" width="8.6328125" style="247" bestFit="1" customWidth="1"/>
    <col min="6156" max="6156" width="9.453125" style="247" bestFit="1" customWidth="1"/>
    <col min="6157" max="6157" width="8.81640625" style="247"/>
    <col min="6158" max="6158" width="9.81640625" style="247" bestFit="1" customWidth="1"/>
    <col min="6159" max="6356" width="8.81640625" style="247"/>
    <col min="6357" max="6357" width="14.1796875" style="247" bestFit="1" customWidth="1"/>
    <col min="6358" max="6358" width="15.453125" style="247" bestFit="1" customWidth="1"/>
    <col min="6359" max="6359" width="12.453125" style="247" bestFit="1" customWidth="1"/>
    <col min="6360" max="6360" width="6" style="247" bestFit="1" customWidth="1"/>
    <col min="6361" max="6361" width="4.81640625" style="247" bestFit="1" customWidth="1"/>
    <col min="6362" max="6362" width="6.453125" style="247" bestFit="1" customWidth="1"/>
    <col min="6363" max="6363" width="5.36328125" style="247" bestFit="1" customWidth="1"/>
    <col min="6364" max="6364" width="5.6328125" style="247" bestFit="1" customWidth="1"/>
    <col min="6365" max="6365" width="8.81640625" style="247"/>
    <col min="6366" max="6366" width="10.1796875" style="247" bestFit="1" customWidth="1"/>
    <col min="6367" max="6367" width="8.81640625" style="247"/>
    <col min="6368" max="6368" width="9.1796875" style="247" customWidth="1"/>
    <col min="6369" max="6369" width="8.81640625" style="247"/>
    <col min="6370" max="6370" width="4.453125" style="247" bestFit="1" customWidth="1"/>
    <col min="6371" max="6371" width="8.81640625" style="247"/>
    <col min="6372" max="6372" width="9.81640625" style="247" bestFit="1" customWidth="1"/>
    <col min="6373" max="6373" width="8" style="247" bestFit="1" customWidth="1"/>
    <col min="6374" max="6374" width="8.6328125" style="247" customWidth="1"/>
    <col min="6375" max="6375" width="8.81640625" style="247"/>
    <col min="6376" max="6377" width="9.1796875" style="247" customWidth="1"/>
    <col min="6378" max="6378" width="8.81640625" style="247"/>
    <col min="6379" max="6379" width="9.1796875" style="247" customWidth="1"/>
    <col min="6380" max="6380" width="8.81640625" style="247"/>
    <col min="6381" max="6381" width="9.1796875" style="247" customWidth="1"/>
    <col min="6382" max="6382" width="8.81640625" style="247"/>
    <col min="6383" max="6383" width="9.1796875" style="247" customWidth="1"/>
    <col min="6384" max="6384" width="8.81640625" style="247"/>
    <col min="6385" max="6385" width="9.1796875" style="247" customWidth="1"/>
    <col min="6386" max="6386" width="8.81640625" style="247"/>
    <col min="6387" max="6387" width="9.1796875" style="247" customWidth="1"/>
    <col min="6388" max="6388" width="8.81640625" style="247"/>
    <col min="6389" max="6389" width="9.1796875" style="247" customWidth="1"/>
    <col min="6390" max="6390" width="8.81640625" style="247"/>
    <col min="6391" max="6391" width="9.1796875" style="247" customWidth="1"/>
    <col min="6392" max="6392" width="8.81640625" style="247"/>
    <col min="6393" max="6393" width="9.1796875" style="247" customWidth="1"/>
    <col min="6394" max="6394" width="8" style="247" bestFit="1" customWidth="1"/>
    <col min="6395" max="6395" width="8.6328125" style="247" bestFit="1" customWidth="1"/>
    <col min="6396" max="6396" width="5.1796875" style="247" bestFit="1" customWidth="1"/>
    <col min="6397" max="6397" width="5.6328125" style="247" bestFit="1" customWidth="1"/>
    <col min="6398" max="6398" width="6.1796875" style="247" bestFit="1" customWidth="1"/>
    <col min="6399" max="6399" width="4.81640625" style="247" bestFit="1" customWidth="1"/>
    <col min="6400" max="6400" width="9.1796875" style="247" customWidth="1"/>
    <col min="6401" max="6401" width="7" style="247" customWidth="1"/>
    <col min="6402" max="6402" width="8.81640625" style="247"/>
    <col min="6403" max="6403" width="4.453125" style="247" bestFit="1" customWidth="1"/>
    <col min="6404" max="6404" width="4.6328125" style="247" customWidth="1"/>
    <col min="6405" max="6405" width="8.81640625" style="247"/>
    <col min="6406" max="6406" width="5.453125" style="247" bestFit="1" customWidth="1"/>
    <col min="6407" max="6407" width="5.36328125" style="247" bestFit="1" customWidth="1"/>
    <col min="6408" max="6408" width="5" style="247" bestFit="1" customWidth="1"/>
    <col min="6409" max="6409" width="4.6328125" style="247" bestFit="1" customWidth="1"/>
    <col min="6410" max="6410" width="5.1796875" style="247" customWidth="1"/>
    <col min="6411" max="6411" width="8.6328125" style="247" bestFit="1" customWidth="1"/>
    <col min="6412" max="6412" width="9.453125" style="247" bestFit="1" customWidth="1"/>
    <col min="6413" max="6413" width="8.81640625" style="247"/>
    <col min="6414" max="6414" width="9.81640625" style="247" bestFit="1" customWidth="1"/>
    <col min="6415" max="6612" width="8.81640625" style="247"/>
    <col min="6613" max="6613" width="14.1796875" style="247" bestFit="1" customWidth="1"/>
    <col min="6614" max="6614" width="15.453125" style="247" bestFit="1" customWidth="1"/>
    <col min="6615" max="6615" width="12.453125" style="247" bestFit="1" customWidth="1"/>
    <col min="6616" max="6616" width="6" style="247" bestFit="1" customWidth="1"/>
    <col min="6617" max="6617" width="4.81640625" style="247" bestFit="1" customWidth="1"/>
    <col min="6618" max="6618" width="6.453125" style="247" bestFit="1" customWidth="1"/>
    <col min="6619" max="6619" width="5.36328125" style="247" bestFit="1" customWidth="1"/>
    <col min="6620" max="6620" width="5.6328125" style="247" bestFit="1" customWidth="1"/>
    <col min="6621" max="6621" width="8.81640625" style="247"/>
    <col min="6622" max="6622" width="10.1796875" style="247" bestFit="1" customWidth="1"/>
    <col min="6623" max="6623" width="8.81640625" style="247"/>
    <col min="6624" max="6624" width="9.1796875" style="247" customWidth="1"/>
    <col min="6625" max="6625" width="8.81640625" style="247"/>
    <col min="6626" max="6626" width="4.453125" style="247" bestFit="1" customWidth="1"/>
    <col min="6627" max="6627" width="8.81640625" style="247"/>
    <col min="6628" max="6628" width="9.81640625" style="247" bestFit="1" customWidth="1"/>
    <col min="6629" max="6629" width="8" style="247" bestFit="1" customWidth="1"/>
    <col min="6630" max="6630" width="8.6328125" style="247" customWidth="1"/>
    <col min="6631" max="6631" width="8.81640625" style="247"/>
    <col min="6632" max="6633" width="9.1796875" style="247" customWidth="1"/>
    <col min="6634" max="6634" width="8.81640625" style="247"/>
    <col min="6635" max="6635" width="9.1796875" style="247" customWidth="1"/>
    <col min="6636" max="6636" width="8.81640625" style="247"/>
    <col min="6637" max="6637" width="9.1796875" style="247" customWidth="1"/>
    <col min="6638" max="6638" width="8.81640625" style="247"/>
    <col min="6639" max="6639" width="9.1796875" style="247" customWidth="1"/>
    <col min="6640" max="6640" width="8.81640625" style="247"/>
    <col min="6641" max="6641" width="9.1796875" style="247" customWidth="1"/>
    <col min="6642" max="6642" width="8.81640625" style="247"/>
    <col min="6643" max="6643" width="9.1796875" style="247" customWidth="1"/>
    <col min="6644" max="6644" width="8.81640625" style="247"/>
    <col min="6645" max="6645" width="9.1796875" style="247" customWidth="1"/>
    <col min="6646" max="6646" width="8.81640625" style="247"/>
    <col min="6647" max="6647" width="9.1796875" style="247" customWidth="1"/>
    <col min="6648" max="6648" width="8.81640625" style="247"/>
    <col min="6649" max="6649" width="9.1796875" style="247" customWidth="1"/>
    <col min="6650" max="6650" width="8" style="247" bestFit="1" customWidth="1"/>
    <col min="6651" max="6651" width="8.6328125" style="247" bestFit="1" customWidth="1"/>
    <col min="6652" max="6652" width="5.1796875" style="247" bestFit="1" customWidth="1"/>
    <col min="6653" max="6653" width="5.6328125" style="247" bestFit="1" customWidth="1"/>
    <col min="6654" max="6654" width="6.1796875" style="247" bestFit="1" customWidth="1"/>
    <col min="6655" max="6655" width="4.81640625" style="247" bestFit="1" customWidth="1"/>
    <col min="6656" max="6656" width="9.1796875" style="247" customWidth="1"/>
    <col min="6657" max="6657" width="7" style="247" customWidth="1"/>
    <col min="6658" max="6658" width="8.81640625" style="247"/>
    <col min="6659" max="6659" width="4.453125" style="247" bestFit="1" customWidth="1"/>
    <col min="6660" max="6660" width="4.6328125" style="247" customWidth="1"/>
    <col min="6661" max="6661" width="8.81640625" style="247"/>
    <col min="6662" max="6662" width="5.453125" style="247" bestFit="1" customWidth="1"/>
    <col min="6663" max="6663" width="5.36328125" style="247" bestFit="1" customWidth="1"/>
    <col min="6664" max="6664" width="5" style="247" bestFit="1" customWidth="1"/>
    <col min="6665" max="6665" width="4.6328125" style="247" bestFit="1" customWidth="1"/>
    <col min="6666" max="6666" width="5.1796875" style="247" customWidth="1"/>
    <col min="6667" max="6667" width="8.6328125" style="247" bestFit="1" customWidth="1"/>
    <col min="6668" max="6668" width="9.453125" style="247" bestFit="1" customWidth="1"/>
    <col min="6669" max="6669" width="8.81640625" style="247"/>
    <col min="6670" max="6670" width="9.81640625" style="247" bestFit="1" customWidth="1"/>
    <col min="6671" max="6868" width="8.81640625" style="247"/>
    <col min="6869" max="6869" width="14.1796875" style="247" bestFit="1" customWidth="1"/>
    <col min="6870" max="6870" width="15.453125" style="247" bestFit="1" customWidth="1"/>
    <col min="6871" max="6871" width="12.453125" style="247" bestFit="1" customWidth="1"/>
    <col min="6872" max="6872" width="6" style="247" bestFit="1" customWidth="1"/>
    <col min="6873" max="6873" width="4.81640625" style="247" bestFit="1" customWidth="1"/>
    <col min="6874" max="6874" width="6.453125" style="247" bestFit="1" customWidth="1"/>
    <col min="6875" max="6875" width="5.36328125" style="247" bestFit="1" customWidth="1"/>
    <col min="6876" max="6876" width="5.6328125" style="247" bestFit="1" customWidth="1"/>
    <col min="6877" max="6877" width="8.81640625" style="247"/>
    <col min="6878" max="6878" width="10.1796875" style="247" bestFit="1" customWidth="1"/>
    <col min="6879" max="6879" width="8.81640625" style="247"/>
    <col min="6880" max="6880" width="9.1796875" style="247" customWidth="1"/>
    <col min="6881" max="6881" width="8.81640625" style="247"/>
    <col min="6882" max="6882" width="4.453125" style="247" bestFit="1" customWidth="1"/>
    <col min="6883" max="6883" width="8.81640625" style="247"/>
    <col min="6884" max="6884" width="9.81640625" style="247" bestFit="1" customWidth="1"/>
    <col min="6885" max="6885" width="8" style="247" bestFit="1" customWidth="1"/>
    <col min="6886" max="6886" width="8.6328125" style="247" customWidth="1"/>
    <col min="6887" max="6887" width="8.81640625" style="247"/>
    <col min="6888" max="6889" width="9.1796875" style="247" customWidth="1"/>
    <col min="6890" max="6890" width="8.81640625" style="247"/>
    <col min="6891" max="6891" width="9.1796875" style="247" customWidth="1"/>
    <col min="6892" max="6892" width="8.81640625" style="247"/>
    <col min="6893" max="6893" width="9.1796875" style="247" customWidth="1"/>
    <col min="6894" max="6894" width="8.81640625" style="247"/>
    <col min="6895" max="6895" width="9.1796875" style="247" customWidth="1"/>
    <col min="6896" max="6896" width="8.81640625" style="247"/>
    <col min="6897" max="6897" width="9.1796875" style="247" customWidth="1"/>
    <col min="6898" max="6898" width="8.81640625" style="247"/>
    <col min="6899" max="6899" width="9.1796875" style="247" customWidth="1"/>
    <col min="6900" max="6900" width="8.81640625" style="247"/>
    <col min="6901" max="6901" width="9.1796875" style="247" customWidth="1"/>
    <col min="6902" max="6902" width="8.81640625" style="247"/>
    <col min="6903" max="6903" width="9.1796875" style="247" customWidth="1"/>
    <col min="6904" max="6904" width="8.81640625" style="247"/>
    <col min="6905" max="6905" width="9.1796875" style="247" customWidth="1"/>
    <col min="6906" max="6906" width="8" style="247" bestFit="1" customWidth="1"/>
    <col min="6907" max="6907" width="8.6328125" style="247" bestFit="1" customWidth="1"/>
    <col min="6908" max="6908" width="5.1796875" style="247" bestFit="1" customWidth="1"/>
    <col min="6909" max="6909" width="5.6328125" style="247" bestFit="1" customWidth="1"/>
    <col min="6910" max="6910" width="6.1796875" style="247" bestFit="1" customWidth="1"/>
    <col min="6911" max="6911" width="4.81640625" style="247" bestFit="1" customWidth="1"/>
    <col min="6912" max="6912" width="9.1796875" style="247" customWidth="1"/>
    <col min="6913" max="6913" width="7" style="247" customWidth="1"/>
    <col min="6914" max="6914" width="8.81640625" style="247"/>
    <col min="6915" max="6915" width="4.453125" style="247" bestFit="1" customWidth="1"/>
    <col min="6916" max="6916" width="4.6328125" style="247" customWidth="1"/>
    <col min="6917" max="6917" width="8.81640625" style="247"/>
    <col min="6918" max="6918" width="5.453125" style="247" bestFit="1" customWidth="1"/>
    <col min="6919" max="6919" width="5.36328125" style="247" bestFit="1" customWidth="1"/>
    <col min="6920" max="6920" width="5" style="247" bestFit="1" customWidth="1"/>
    <col min="6921" max="6921" width="4.6328125" style="247" bestFit="1" customWidth="1"/>
    <col min="6922" max="6922" width="5.1796875" style="247" customWidth="1"/>
    <col min="6923" max="6923" width="8.6328125" style="247" bestFit="1" customWidth="1"/>
    <col min="6924" max="6924" width="9.453125" style="247" bestFit="1" customWidth="1"/>
    <col min="6925" max="6925" width="8.81640625" style="247"/>
    <col min="6926" max="6926" width="9.81640625" style="247" bestFit="1" customWidth="1"/>
    <col min="6927" max="7124" width="8.81640625" style="247"/>
    <col min="7125" max="7125" width="14.1796875" style="247" bestFit="1" customWidth="1"/>
    <col min="7126" max="7126" width="15.453125" style="247" bestFit="1" customWidth="1"/>
    <col min="7127" max="7127" width="12.453125" style="247" bestFit="1" customWidth="1"/>
    <col min="7128" max="7128" width="6" style="247" bestFit="1" customWidth="1"/>
    <col min="7129" max="7129" width="4.81640625" style="247" bestFit="1" customWidth="1"/>
    <col min="7130" max="7130" width="6.453125" style="247" bestFit="1" customWidth="1"/>
    <col min="7131" max="7131" width="5.36328125" style="247" bestFit="1" customWidth="1"/>
    <col min="7132" max="7132" width="5.6328125" style="247" bestFit="1" customWidth="1"/>
    <col min="7133" max="7133" width="8.81640625" style="247"/>
    <col min="7134" max="7134" width="10.1796875" style="247" bestFit="1" customWidth="1"/>
    <col min="7135" max="7135" width="8.81640625" style="247"/>
    <col min="7136" max="7136" width="9.1796875" style="247" customWidth="1"/>
    <col min="7137" max="7137" width="8.81640625" style="247"/>
    <col min="7138" max="7138" width="4.453125" style="247" bestFit="1" customWidth="1"/>
    <col min="7139" max="7139" width="8.81640625" style="247"/>
    <col min="7140" max="7140" width="9.81640625" style="247" bestFit="1" customWidth="1"/>
    <col min="7141" max="7141" width="8" style="247" bestFit="1" customWidth="1"/>
    <col min="7142" max="7142" width="8.6328125" style="247" customWidth="1"/>
    <col min="7143" max="7143" width="8.81640625" style="247"/>
    <col min="7144" max="7145" width="9.1796875" style="247" customWidth="1"/>
    <col min="7146" max="7146" width="8.81640625" style="247"/>
    <col min="7147" max="7147" width="9.1796875" style="247" customWidth="1"/>
    <col min="7148" max="7148" width="8.81640625" style="247"/>
    <col min="7149" max="7149" width="9.1796875" style="247" customWidth="1"/>
    <col min="7150" max="7150" width="8.81640625" style="247"/>
    <col min="7151" max="7151" width="9.1796875" style="247" customWidth="1"/>
    <col min="7152" max="7152" width="8.81640625" style="247"/>
    <col min="7153" max="7153" width="9.1796875" style="247" customWidth="1"/>
    <col min="7154" max="7154" width="8.81640625" style="247"/>
    <col min="7155" max="7155" width="9.1796875" style="247" customWidth="1"/>
    <col min="7156" max="7156" width="8.81640625" style="247"/>
    <col min="7157" max="7157" width="9.1796875" style="247" customWidth="1"/>
    <col min="7158" max="7158" width="8.81640625" style="247"/>
    <col min="7159" max="7159" width="9.1796875" style="247" customWidth="1"/>
    <col min="7160" max="7160" width="8.81640625" style="247"/>
    <col min="7161" max="7161" width="9.1796875" style="247" customWidth="1"/>
    <col min="7162" max="7162" width="8" style="247" bestFit="1" customWidth="1"/>
    <col min="7163" max="7163" width="8.6328125" style="247" bestFit="1" customWidth="1"/>
    <col min="7164" max="7164" width="5.1796875" style="247" bestFit="1" customWidth="1"/>
    <col min="7165" max="7165" width="5.6328125" style="247" bestFit="1" customWidth="1"/>
    <col min="7166" max="7166" width="6.1796875" style="247" bestFit="1" customWidth="1"/>
    <col min="7167" max="7167" width="4.81640625" style="247" bestFit="1" customWidth="1"/>
    <col min="7168" max="7168" width="9.1796875" style="247" customWidth="1"/>
    <col min="7169" max="7169" width="7" style="247" customWidth="1"/>
    <col min="7170" max="7170" width="8.81640625" style="247"/>
    <col min="7171" max="7171" width="4.453125" style="247" bestFit="1" customWidth="1"/>
    <col min="7172" max="7172" width="4.6328125" style="247" customWidth="1"/>
    <col min="7173" max="7173" width="8.81640625" style="247"/>
    <col min="7174" max="7174" width="5.453125" style="247" bestFit="1" customWidth="1"/>
    <col min="7175" max="7175" width="5.36328125" style="247" bestFit="1" customWidth="1"/>
    <col min="7176" max="7176" width="5" style="247" bestFit="1" customWidth="1"/>
    <col min="7177" max="7177" width="4.6328125" style="247" bestFit="1" customWidth="1"/>
    <col min="7178" max="7178" width="5.1796875" style="247" customWidth="1"/>
    <col min="7179" max="7179" width="8.6328125" style="247" bestFit="1" customWidth="1"/>
    <col min="7180" max="7180" width="9.453125" style="247" bestFit="1" customWidth="1"/>
    <col min="7181" max="7181" width="8.81640625" style="247"/>
    <col min="7182" max="7182" width="9.81640625" style="247" bestFit="1" customWidth="1"/>
    <col min="7183" max="7380" width="8.81640625" style="247"/>
    <col min="7381" max="7381" width="14.1796875" style="247" bestFit="1" customWidth="1"/>
    <col min="7382" max="7382" width="15.453125" style="247" bestFit="1" customWidth="1"/>
    <col min="7383" max="7383" width="12.453125" style="247" bestFit="1" customWidth="1"/>
    <col min="7384" max="7384" width="6" style="247" bestFit="1" customWidth="1"/>
    <col min="7385" max="7385" width="4.81640625" style="247" bestFit="1" customWidth="1"/>
    <col min="7386" max="7386" width="6.453125" style="247" bestFit="1" customWidth="1"/>
    <col min="7387" max="7387" width="5.36328125" style="247" bestFit="1" customWidth="1"/>
    <col min="7388" max="7388" width="5.6328125" style="247" bestFit="1" customWidth="1"/>
    <col min="7389" max="7389" width="8.81640625" style="247"/>
    <col min="7390" max="7390" width="10.1796875" style="247" bestFit="1" customWidth="1"/>
    <col min="7391" max="7391" width="8.81640625" style="247"/>
    <col min="7392" max="7392" width="9.1796875" style="247" customWidth="1"/>
    <col min="7393" max="7393" width="8.81640625" style="247"/>
    <col min="7394" max="7394" width="4.453125" style="247" bestFit="1" customWidth="1"/>
    <col min="7395" max="7395" width="8.81640625" style="247"/>
    <col min="7396" max="7396" width="9.81640625" style="247" bestFit="1" customWidth="1"/>
    <col min="7397" max="7397" width="8" style="247" bestFit="1" customWidth="1"/>
    <col min="7398" max="7398" width="8.6328125" style="247" customWidth="1"/>
    <col min="7399" max="7399" width="8.81640625" style="247"/>
    <col min="7400" max="7401" width="9.1796875" style="247" customWidth="1"/>
    <col min="7402" max="7402" width="8.81640625" style="247"/>
    <col min="7403" max="7403" width="9.1796875" style="247" customWidth="1"/>
    <col min="7404" max="7404" width="8.81640625" style="247"/>
    <col min="7405" max="7405" width="9.1796875" style="247" customWidth="1"/>
    <col min="7406" max="7406" width="8.81640625" style="247"/>
    <col min="7407" max="7407" width="9.1796875" style="247" customWidth="1"/>
    <col min="7408" max="7408" width="8.81640625" style="247"/>
    <col min="7409" max="7409" width="9.1796875" style="247" customWidth="1"/>
    <col min="7410" max="7410" width="8.81640625" style="247"/>
    <col min="7411" max="7411" width="9.1796875" style="247" customWidth="1"/>
    <col min="7412" max="7412" width="8.81640625" style="247"/>
    <col min="7413" max="7413" width="9.1796875" style="247" customWidth="1"/>
    <col min="7414" max="7414" width="8.81640625" style="247"/>
    <col min="7415" max="7415" width="9.1796875" style="247" customWidth="1"/>
    <col min="7416" max="7416" width="8.81640625" style="247"/>
    <col min="7417" max="7417" width="9.1796875" style="247" customWidth="1"/>
    <col min="7418" max="7418" width="8" style="247" bestFit="1" customWidth="1"/>
    <col min="7419" max="7419" width="8.6328125" style="247" bestFit="1" customWidth="1"/>
    <col min="7420" max="7420" width="5.1796875" style="247" bestFit="1" customWidth="1"/>
    <col min="7421" max="7421" width="5.6328125" style="247" bestFit="1" customWidth="1"/>
    <col min="7422" max="7422" width="6.1796875" style="247" bestFit="1" customWidth="1"/>
    <col min="7423" max="7423" width="4.81640625" style="247" bestFit="1" customWidth="1"/>
    <col min="7424" max="7424" width="9.1796875" style="247" customWidth="1"/>
    <col min="7425" max="7425" width="7" style="247" customWidth="1"/>
    <col min="7426" max="7426" width="8.81640625" style="247"/>
    <col min="7427" max="7427" width="4.453125" style="247" bestFit="1" customWidth="1"/>
    <col min="7428" max="7428" width="4.6328125" style="247" customWidth="1"/>
    <col min="7429" max="7429" width="8.81640625" style="247"/>
    <col min="7430" max="7430" width="5.453125" style="247" bestFit="1" customWidth="1"/>
    <col min="7431" max="7431" width="5.36328125" style="247" bestFit="1" customWidth="1"/>
    <col min="7432" max="7432" width="5" style="247" bestFit="1" customWidth="1"/>
    <col min="7433" max="7433" width="4.6328125" style="247" bestFit="1" customWidth="1"/>
    <col min="7434" max="7434" width="5.1796875" style="247" customWidth="1"/>
    <col min="7435" max="7435" width="8.6328125" style="247" bestFit="1" customWidth="1"/>
    <col min="7436" max="7436" width="9.453125" style="247" bestFit="1" customWidth="1"/>
    <col min="7437" max="7437" width="8.81640625" style="247"/>
    <col min="7438" max="7438" width="9.81640625" style="247" bestFit="1" customWidth="1"/>
    <col min="7439" max="7636" width="8.81640625" style="247"/>
    <col min="7637" max="7637" width="14.1796875" style="247" bestFit="1" customWidth="1"/>
    <col min="7638" max="7638" width="15.453125" style="247" bestFit="1" customWidth="1"/>
    <col min="7639" max="7639" width="12.453125" style="247" bestFit="1" customWidth="1"/>
    <col min="7640" max="7640" width="6" style="247" bestFit="1" customWidth="1"/>
    <col min="7641" max="7641" width="4.81640625" style="247" bestFit="1" customWidth="1"/>
    <col min="7642" max="7642" width="6.453125" style="247" bestFit="1" customWidth="1"/>
    <col min="7643" max="7643" width="5.36328125" style="247" bestFit="1" customWidth="1"/>
    <col min="7644" max="7644" width="5.6328125" style="247" bestFit="1" customWidth="1"/>
    <col min="7645" max="7645" width="8.81640625" style="247"/>
    <col min="7646" max="7646" width="10.1796875" style="247" bestFit="1" customWidth="1"/>
    <col min="7647" max="7647" width="8.81640625" style="247"/>
    <col min="7648" max="7648" width="9.1796875" style="247" customWidth="1"/>
    <col min="7649" max="7649" width="8.81640625" style="247"/>
    <col min="7650" max="7650" width="4.453125" style="247" bestFit="1" customWidth="1"/>
    <col min="7651" max="7651" width="8.81640625" style="247"/>
    <col min="7652" max="7652" width="9.81640625" style="247" bestFit="1" customWidth="1"/>
    <col min="7653" max="7653" width="8" style="247" bestFit="1" customWidth="1"/>
    <col min="7654" max="7654" width="8.6328125" style="247" customWidth="1"/>
    <col min="7655" max="7655" width="8.81640625" style="247"/>
    <col min="7656" max="7657" width="9.1796875" style="247" customWidth="1"/>
    <col min="7658" max="7658" width="8.81640625" style="247"/>
    <col min="7659" max="7659" width="9.1796875" style="247" customWidth="1"/>
    <col min="7660" max="7660" width="8.81640625" style="247"/>
    <col min="7661" max="7661" width="9.1796875" style="247" customWidth="1"/>
    <col min="7662" max="7662" width="8.81640625" style="247"/>
    <col min="7663" max="7663" width="9.1796875" style="247" customWidth="1"/>
    <col min="7664" max="7664" width="8.81640625" style="247"/>
    <col min="7665" max="7665" width="9.1796875" style="247" customWidth="1"/>
    <col min="7666" max="7666" width="8.81640625" style="247"/>
    <col min="7667" max="7667" width="9.1796875" style="247" customWidth="1"/>
    <col min="7668" max="7668" width="8.81640625" style="247"/>
    <col min="7669" max="7669" width="9.1796875" style="247" customWidth="1"/>
    <col min="7670" max="7670" width="8.81640625" style="247"/>
    <col min="7671" max="7671" width="9.1796875" style="247" customWidth="1"/>
    <col min="7672" max="7672" width="8.81640625" style="247"/>
    <col min="7673" max="7673" width="9.1796875" style="247" customWidth="1"/>
    <col min="7674" max="7674" width="8" style="247" bestFit="1" customWidth="1"/>
    <col min="7675" max="7675" width="8.6328125" style="247" bestFit="1" customWidth="1"/>
    <col min="7676" max="7676" width="5.1796875" style="247" bestFit="1" customWidth="1"/>
    <col min="7677" max="7677" width="5.6328125" style="247" bestFit="1" customWidth="1"/>
    <col min="7678" max="7678" width="6.1796875" style="247" bestFit="1" customWidth="1"/>
    <col min="7679" max="7679" width="4.81640625" style="247" bestFit="1" customWidth="1"/>
    <col min="7680" max="7680" width="9.1796875" style="247" customWidth="1"/>
    <col min="7681" max="7681" width="7" style="247" customWidth="1"/>
    <col min="7682" max="7682" width="8.81640625" style="247"/>
    <col min="7683" max="7683" width="4.453125" style="247" bestFit="1" customWidth="1"/>
    <col min="7684" max="7684" width="4.6328125" style="247" customWidth="1"/>
    <col min="7685" max="7685" width="8.81640625" style="247"/>
    <col min="7686" max="7686" width="5.453125" style="247" bestFit="1" customWidth="1"/>
    <col min="7687" max="7687" width="5.36328125" style="247" bestFit="1" customWidth="1"/>
    <col min="7688" max="7688" width="5" style="247" bestFit="1" customWidth="1"/>
    <col min="7689" max="7689" width="4.6328125" style="247" bestFit="1" customWidth="1"/>
    <col min="7690" max="7690" width="5.1796875" style="247" customWidth="1"/>
    <col min="7691" max="7691" width="8.6328125" style="247" bestFit="1" customWidth="1"/>
    <col min="7692" max="7692" width="9.453125" style="247" bestFit="1" customWidth="1"/>
    <col min="7693" max="7693" width="8.81640625" style="247"/>
    <col min="7694" max="7694" width="9.81640625" style="247" bestFit="1" customWidth="1"/>
    <col min="7695" max="7892" width="8.81640625" style="247"/>
    <col min="7893" max="7893" width="14.1796875" style="247" bestFit="1" customWidth="1"/>
    <col min="7894" max="7894" width="15.453125" style="247" bestFit="1" customWidth="1"/>
    <col min="7895" max="7895" width="12.453125" style="247" bestFit="1" customWidth="1"/>
    <col min="7896" max="7896" width="6" style="247" bestFit="1" customWidth="1"/>
    <col min="7897" max="7897" width="4.81640625" style="247" bestFit="1" customWidth="1"/>
    <col min="7898" max="7898" width="6.453125" style="247" bestFit="1" customWidth="1"/>
    <col min="7899" max="7899" width="5.36328125" style="247" bestFit="1" customWidth="1"/>
    <col min="7900" max="7900" width="5.6328125" style="247" bestFit="1" customWidth="1"/>
    <col min="7901" max="7901" width="8.81640625" style="247"/>
    <col min="7902" max="7902" width="10.1796875" style="247" bestFit="1" customWidth="1"/>
    <col min="7903" max="7903" width="8.81640625" style="247"/>
    <col min="7904" max="7904" width="9.1796875" style="247" customWidth="1"/>
    <col min="7905" max="7905" width="8.81640625" style="247"/>
    <col min="7906" max="7906" width="4.453125" style="247" bestFit="1" customWidth="1"/>
    <col min="7907" max="7907" width="8.81640625" style="247"/>
    <col min="7908" max="7908" width="9.81640625" style="247" bestFit="1" customWidth="1"/>
    <col min="7909" max="7909" width="8" style="247" bestFit="1" customWidth="1"/>
    <col min="7910" max="7910" width="8.6328125" style="247" customWidth="1"/>
    <col min="7911" max="7911" width="8.81640625" style="247"/>
    <col min="7912" max="7913" width="9.1796875" style="247" customWidth="1"/>
    <col min="7914" max="7914" width="8.81640625" style="247"/>
    <col min="7915" max="7915" width="9.1796875" style="247" customWidth="1"/>
    <col min="7916" max="7916" width="8.81640625" style="247"/>
    <col min="7917" max="7917" width="9.1796875" style="247" customWidth="1"/>
    <col min="7918" max="7918" width="8.81640625" style="247"/>
    <col min="7919" max="7919" width="9.1796875" style="247" customWidth="1"/>
    <col min="7920" max="7920" width="8.81640625" style="247"/>
    <col min="7921" max="7921" width="9.1796875" style="247" customWidth="1"/>
    <col min="7922" max="7922" width="8.81640625" style="247"/>
    <col min="7923" max="7923" width="9.1796875" style="247" customWidth="1"/>
    <col min="7924" max="7924" width="8.81640625" style="247"/>
    <col min="7925" max="7925" width="9.1796875" style="247" customWidth="1"/>
    <col min="7926" max="7926" width="8.81640625" style="247"/>
    <col min="7927" max="7927" width="9.1796875" style="247" customWidth="1"/>
    <col min="7928" max="7928" width="8.81640625" style="247"/>
    <col min="7929" max="7929" width="9.1796875" style="247" customWidth="1"/>
    <col min="7930" max="7930" width="8" style="247" bestFit="1" customWidth="1"/>
    <col min="7931" max="7931" width="8.6328125" style="247" bestFit="1" customWidth="1"/>
    <col min="7932" max="7932" width="5.1796875" style="247" bestFit="1" customWidth="1"/>
    <col min="7933" max="7933" width="5.6328125" style="247" bestFit="1" customWidth="1"/>
    <col min="7934" max="7934" width="6.1796875" style="247" bestFit="1" customWidth="1"/>
    <col min="7935" max="7935" width="4.81640625" style="247" bestFit="1" customWidth="1"/>
    <col min="7936" max="7936" width="9.1796875" style="247" customWidth="1"/>
    <col min="7937" max="7937" width="7" style="247" customWidth="1"/>
    <col min="7938" max="7938" width="8.81640625" style="247"/>
    <col min="7939" max="7939" width="4.453125" style="247" bestFit="1" customWidth="1"/>
    <col min="7940" max="7940" width="4.6328125" style="247" customWidth="1"/>
    <col min="7941" max="7941" width="8.81640625" style="247"/>
    <col min="7942" max="7942" width="5.453125" style="247" bestFit="1" customWidth="1"/>
    <col min="7943" max="7943" width="5.36328125" style="247" bestFit="1" customWidth="1"/>
    <col min="7944" max="7944" width="5" style="247" bestFit="1" customWidth="1"/>
    <col min="7945" max="7945" width="4.6328125" style="247" bestFit="1" customWidth="1"/>
    <col min="7946" max="7946" width="5.1796875" style="247" customWidth="1"/>
    <col min="7947" max="7947" width="8.6328125" style="247" bestFit="1" customWidth="1"/>
    <col min="7948" max="7948" width="9.453125" style="247" bestFit="1" customWidth="1"/>
    <col min="7949" max="7949" width="8.81640625" style="247"/>
    <col min="7950" max="7950" width="9.81640625" style="247" bestFit="1" customWidth="1"/>
    <col min="7951" max="8148" width="8.81640625" style="247"/>
    <col min="8149" max="8149" width="14.1796875" style="247" bestFit="1" customWidth="1"/>
    <col min="8150" max="8150" width="15.453125" style="247" bestFit="1" customWidth="1"/>
    <col min="8151" max="8151" width="12.453125" style="247" bestFit="1" customWidth="1"/>
    <col min="8152" max="8152" width="6" style="247" bestFit="1" customWidth="1"/>
    <col min="8153" max="8153" width="4.81640625" style="247" bestFit="1" customWidth="1"/>
    <col min="8154" max="8154" width="6.453125" style="247" bestFit="1" customWidth="1"/>
    <col min="8155" max="8155" width="5.36328125" style="247" bestFit="1" customWidth="1"/>
    <col min="8156" max="8156" width="5.6328125" style="247" bestFit="1" customWidth="1"/>
    <col min="8157" max="8157" width="8.81640625" style="247"/>
    <col min="8158" max="8158" width="10.1796875" style="247" bestFit="1" customWidth="1"/>
    <col min="8159" max="8159" width="8.81640625" style="247"/>
    <col min="8160" max="8160" width="9.1796875" style="247" customWidth="1"/>
    <col min="8161" max="8161" width="8.81640625" style="247"/>
    <col min="8162" max="8162" width="4.453125" style="247" bestFit="1" customWidth="1"/>
    <col min="8163" max="8163" width="8.81640625" style="247"/>
    <col min="8164" max="8164" width="9.81640625" style="247" bestFit="1" customWidth="1"/>
    <col min="8165" max="8165" width="8" style="247" bestFit="1" customWidth="1"/>
    <col min="8166" max="8166" width="8.6328125" style="247" customWidth="1"/>
    <col min="8167" max="8167" width="8.81640625" style="247"/>
    <col min="8168" max="8169" width="9.1796875" style="247" customWidth="1"/>
    <col min="8170" max="8170" width="8.81640625" style="247"/>
    <col min="8171" max="8171" width="9.1796875" style="247" customWidth="1"/>
    <col min="8172" max="8172" width="8.81640625" style="247"/>
    <col min="8173" max="8173" width="9.1796875" style="247" customWidth="1"/>
    <col min="8174" max="8174" width="8.81640625" style="247"/>
    <col min="8175" max="8175" width="9.1796875" style="247" customWidth="1"/>
    <col min="8176" max="8176" width="8.81640625" style="247"/>
    <col min="8177" max="8177" width="9.1796875" style="247" customWidth="1"/>
    <col min="8178" max="8178" width="8.81640625" style="247"/>
    <col min="8179" max="8179" width="9.1796875" style="247" customWidth="1"/>
    <col min="8180" max="8180" width="8.81640625" style="247"/>
    <col min="8181" max="8181" width="9.1796875" style="247" customWidth="1"/>
    <col min="8182" max="8182" width="8.81640625" style="247"/>
    <col min="8183" max="8183" width="9.1796875" style="247" customWidth="1"/>
    <col min="8184" max="8184" width="8.81640625" style="247"/>
    <col min="8185" max="8185" width="9.1796875" style="247" customWidth="1"/>
    <col min="8186" max="8186" width="8" style="247" bestFit="1" customWidth="1"/>
    <col min="8187" max="8187" width="8.6328125" style="247" bestFit="1" customWidth="1"/>
    <col min="8188" max="8188" width="5.1796875" style="247" bestFit="1" customWidth="1"/>
    <col min="8189" max="8189" width="5.6328125" style="247" bestFit="1" customWidth="1"/>
    <col min="8190" max="8190" width="6.1796875" style="247" bestFit="1" customWidth="1"/>
    <col min="8191" max="8191" width="4.81640625" style="247" bestFit="1" customWidth="1"/>
    <col min="8192" max="8192" width="9.1796875" style="247" customWidth="1"/>
    <col min="8193" max="8193" width="7" style="247" customWidth="1"/>
    <col min="8194" max="8194" width="8.81640625" style="247"/>
    <col min="8195" max="8195" width="4.453125" style="247" bestFit="1" customWidth="1"/>
    <col min="8196" max="8196" width="4.6328125" style="247" customWidth="1"/>
    <col min="8197" max="8197" width="8.81640625" style="247"/>
    <col min="8198" max="8198" width="5.453125" style="247" bestFit="1" customWidth="1"/>
    <col min="8199" max="8199" width="5.36328125" style="247" bestFit="1" customWidth="1"/>
    <col min="8200" max="8200" width="5" style="247" bestFit="1" customWidth="1"/>
    <col min="8201" max="8201" width="4.6328125" style="247" bestFit="1" customWidth="1"/>
    <col min="8202" max="8202" width="5.1796875" style="247" customWidth="1"/>
    <col min="8203" max="8203" width="8.6328125" style="247" bestFit="1" customWidth="1"/>
    <col min="8204" max="8204" width="9.453125" style="247" bestFit="1" customWidth="1"/>
    <col min="8205" max="8205" width="8.81640625" style="247"/>
    <col min="8206" max="8206" width="9.81640625" style="247" bestFit="1" customWidth="1"/>
    <col min="8207" max="8404" width="8.81640625" style="247"/>
    <col min="8405" max="8405" width="14.1796875" style="247" bestFit="1" customWidth="1"/>
    <col min="8406" max="8406" width="15.453125" style="247" bestFit="1" customWidth="1"/>
    <col min="8407" max="8407" width="12.453125" style="247" bestFit="1" customWidth="1"/>
    <col min="8408" max="8408" width="6" style="247" bestFit="1" customWidth="1"/>
    <col min="8409" max="8409" width="4.81640625" style="247" bestFit="1" customWidth="1"/>
    <col min="8410" max="8410" width="6.453125" style="247" bestFit="1" customWidth="1"/>
    <col min="8411" max="8411" width="5.36328125" style="247" bestFit="1" customWidth="1"/>
    <col min="8412" max="8412" width="5.6328125" style="247" bestFit="1" customWidth="1"/>
    <col min="8413" max="8413" width="8.81640625" style="247"/>
    <col min="8414" max="8414" width="10.1796875" style="247" bestFit="1" customWidth="1"/>
    <col min="8415" max="8415" width="8.81640625" style="247"/>
    <col min="8416" max="8416" width="9.1796875" style="247" customWidth="1"/>
    <col min="8417" max="8417" width="8.81640625" style="247"/>
    <col min="8418" max="8418" width="4.453125" style="247" bestFit="1" customWidth="1"/>
    <col min="8419" max="8419" width="8.81640625" style="247"/>
    <col min="8420" max="8420" width="9.81640625" style="247" bestFit="1" customWidth="1"/>
    <col min="8421" max="8421" width="8" style="247" bestFit="1" customWidth="1"/>
    <col min="8422" max="8422" width="8.6328125" style="247" customWidth="1"/>
    <col min="8423" max="8423" width="8.81640625" style="247"/>
    <col min="8424" max="8425" width="9.1796875" style="247" customWidth="1"/>
    <col min="8426" max="8426" width="8.81640625" style="247"/>
    <col min="8427" max="8427" width="9.1796875" style="247" customWidth="1"/>
    <col min="8428" max="8428" width="8.81640625" style="247"/>
    <col min="8429" max="8429" width="9.1796875" style="247" customWidth="1"/>
    <col min="8430" max="8430" width="8.81640625" style="247"/>
    <col min="8431" max="8431" width="9.1796875" style="247" customWidth="1"/>
    <col min="8432" max="8432" width="8.81640625" style="247"/>
    <col min="8433" max="8433" width="9.1796875" style="247" customWidth="1"/>
    <col min="8434" max="8434" width="8.81640625" style="247"/>
    <col min="8435" max="8435" width="9.1796875" style="247" customWidth="1"/>
    <col min="8436" max="8436" width="8.81640625" style="247"/>
    <col min="8437" max="8437" width="9.1796875" style="247" customWidth="1"/>
    <col min="8438" max="8438" width="8.81640625" style="247"/>
    <col min="8439" max="8439" width="9.1796875" style="247" customWidth="1"/>
    <col min="8440" max="8440" width="8.81640625" style="247"/>
    <col min="8441" max="8441" width="9.1796875" style="247" customWidth="1"/>
    <col min="8442" max="8442" width="8" style="247" bestFit="1" customWidth="1"/>
    <col min="8443" max="8443" width="8.6328125" style="247" bestFit="1" customWidth="1"/>
    <col min="8444" max="8444" width="5.1796875" style="247" bestFit="1" customWidth="1"/>
    <col min="8445" max="8445" width="5.6328125" style="247" bestFit="1" customWidth="1"/>
    <col min="8446" max="8446" width="6.1796875" style="247" bestFit="1" customWidth="1"/>
    <col min="8447" max="8447" width="4.81640625" style="247" bestFit="1" customWidth="1"/>
    <col min="8448" max="8448" width="9.1796875" style="247" customWidth="1"/>
    <col min="8449" max="8449" width="7" style="247" customWidth="1"/>
    <col min="8450" max="8450" width="8.81640625" style="247"/>
    <col min="8451" max="8451" width="4.453125" style="247" bestFit="1" customWidth="1"/>
    <col min="8452" max="8452" width="4.6328125" style="247" customWidth="1"/>
    <col min="8453" max="8453" width="8.81640625" style="247"/>
    <col min="8454" max="8454" width="5.453125" style="247" bestFit="1" customWidth="1"/>
    <col min="8455" max="8455" width="5.36328125" style="247" bestFit="1" customWidth="1"/>
    <col min="8456" max="8456" width="5" style="247" bestFit="1" customWidth="1"/>
    <col min="8457" max="8457" width="4.6328125" style="247" bestFit="1" customWidth="1"/>
    <col min="8458" max="8458" width="5.1796875" style="247" customWidth="1"/>
    <col min="8459" max="8459" width="8.6328125" style="247" bestFit="1" customWidth="1"/>
    <col min="8460" max="8460" width="9.453125" style="247" bestFit="1" customWidth="1"/>
    <col min="8461" max="8461" width="8.81640625" style="247"/>
    <col min="8462" max="8462" width="9.81640625" style="247" bestFit="1" customWidth="1"/>
    <col min="8463" max="8660" width="8.81640625" style="247"/>
    <col min="8661" max="8661" width="14.1796875" style="247" bestFit="1" customWidth="1"/>
    <col min="8662" max="8662" width="15.453125" style="247" bestFit="1" customWidth="1"/>
    <col min="8663" max="8663" width="12.453125" style="247" bestFit="1" customWidth="1"/>
    <col min="8664" max="8664" width="6" style="247" bestFit="1" customWidth="1"/>
    <col min="8665" max="8665" width="4.81640625" style="247" bestFit="1" customWidth="1"/>
    <col min="8666" max="8666" width="6.453125" style="247" bestFit="1" customWidth="1"/>
    <col min="8667" max="8667" width="5.36328125" style="247" bestFit="1" customWidth="1"/>
    <col min="8668" max="8668" width="5.6328125" style="247" bestFit="1" customWidth="1"/>
    <col min="8669" max="8669" width="8.81640625" style="247"/>
    <col min="8670" max="8670" width="10.1796875" style="247" bestFit="1" customWidth="1"/>
    <col min="8671" max="8671" width="8.81640625" style="247"/>
    <col min="8672" max="8672" width="9.1796875" style="247" customWidth="1"/>
    <col min="8673" max="8673" width="8.81640625" style="247"/>
    <col min="8674" max="8674" width="4.453125" style="247" bestFit="1" customWidth="1"/>
    <col min="8675" max="8675" width="8.81640625" style="247"/>
    <col min="8676" max="8676" width="9.81640625" style="247" bestFit="1" customWidth="1"/>
    <col min="8677" max="8677" width="8" style="247" bestFit="1" customWidth="1"/>
    <col min="8678" max="8678" width="8.6328125" style="247" customWidth="1"/>
    <col min="8679" max="8679" width="8.81640625" style="247"/>
    <col min="8680" max="8681" width="9.1796875" style="247" customWidth="1"/>
    <col min="8682" max="8682" width="8.81640625" style="247"/>
    <col min="8683" max="8683" width="9.1796875" style="247" customWidth="1"/>
    <col min="8684" max="8684" width="8.81640625" style="247"/>
    <col min="8685" max="8685" width="9.1796875" style="247" customWidth="1"/>
    <col min="8686" max="8686" width="8.81640625" style="247"/>
    <col min="8687" max="8687" width="9.1796875" style="247" customWidth="1"/>
    <col min="8688" max="8688" width="8.81640625" style="247"/>
    <col min="8689" max="8689" width="9.1796875" style="247" customWidth="1"/>
    <col min="8690" max="8690" width="8.81640625" style="247"/>
    <col min="8691" max="8691" width="9.1796875" style="247" customWidth="1"/>
    <col min="8692" max="8692" width="8.81640625" style="247"/>
    <col min="8693" max="8693" width="9.1796875" style="247" customWidth="1"/>
    <col min="8694" max="8694" width="8.81640625" style="247"/>
    <col min="8695" max="8695" width="9.1796875" style="247" customWidth="1"/>
    <col min="8696" max="8696" width="8.81640625" style="247"/>
    <col min="8697" max="8697" width="9.1796875" style="247" customWidth="1"/>
    <col min="8698" max="8698" width="8" style="247" bestFit="1" customWidth="1"/>
    <col min="8699" max="8699" width="8.6328125" style="247" bestFit="1" customWidth="1"/>
    <col min="8700" max="8700" width="5.1796875" style="247" bestFit="1" customWidth="1"/>
    <col min="8701" max="8701" width="5.6328125" style="247" bestFit="1" customWidth="1"/>
    <col min="8702" max="8702" width="6.1796875" style="247" bestFit="1" customWidth="1"/>
    <col min="8703" max="8703" width="4.81640625" style="247" bestFit="1" customWidth="1"/>
    <col min="8704" max="8704" width="9.1796875" style="247" customWidth="1"/>
    <col min="8705" max="8705" width="7" style="247" customWidth="1"/>
    <col min="8706" max="8706" width="8.81640625" style="247"/>
    <col min="8707" max="8707" width="4.453125" style="247" bestFit="1" customWidth="1"/>
    <col min="8708" max="8708" width="4.6328125" style="247" customWidth="1"/>
    <col min="8709" max="8709" width="8.81640625" style="247"/>
    <col min="8710" max="8710" width="5.453125" style="247" bestFit="1" customWidth="1"/>
    <col min="8711" max="8711" width="5.36328125" style="247" bestFit="1" customWidth="1"/>
    <col min="8712" max="8712" width="5" style="247" bestFit="1" customWidth="1"/>
    <col min="8713" max="8713" width="4.6328125" style="247" bestFit="1" customWidth="1"/>
    <col min="8714" max="8714" width="5.1796875" style="247" customWidth="1"/>
    <col min="8715" max="8715" width="8.6328125" style="247" bestFit="1" customWidth="1"/>
    <col min="8716" max="8716" width="9.453125" style="247" bestFit="1" customWidth="1"/>
    <col min="8717" max="8717" width="8.81640625" style="247"/>
    <col min="8718" max="8718" width="9.81640625" style="247" bestFit="1" customWidth="1"/>
    <col min="8719" max="8916" width="8.81640625" style="247"/>
    <col min="8917" max="8917" width="14.1796875" style="247" bestFit="1" customWidth="1"/>
    <col min="8918" max="8918" width="15.453125" style="247" bestFit="1" customWidth="1"/>
    <col min="8919" max="8919" width="12.453125" style="247" bestFit="1" customWidth="1"/>
    <col min="8920" max="8920" width="6" style="247" bestFit="1" customWidth="1"/>
    <col min="8921" max="8921" width="4.81640625" style="247" bestFit="1" customWidth="1"/>
    <col min="8922" max="8922" width="6.453125" style="247" bestFit="1" customWidth="1"/>
    <col min="8923" max="8923" width="5.36328125" style="247" bestFit="1" customWidth="1"/>
    <col min="8924" max="8924" width="5.6328125" style="247" bestFit="1" customWidth="1"/>
    <col min="8925" max="8925" width="8.81640625" style="247"/>
    <col min="8926" max="8926" width="10.1796875" style="247" bestFit="1" customWidth="1"/>
    <col min="8927" max="8927" width="8.81640625" style="247"/>
    <col min="8928" max="8928" width="9.1796875" style="247" customWidth="1"/>
    <col min="8929" max="8929" width="8.81640625" style="247"/>
    <col min="8930" max="8930" width="4.453125" style="247" bestFit="1" customWidth="1"/>
    <col min="8931" max="8931" width="8.81640625" style="247"/>
    <col min="8932" max="8932" width="9.81640625" style="247" bestFit="1" customWidth="1"/>
    <col min="8933" max="8933" width="8" style="247" bestFit="1" customWidth="1"/>
    <col min="8934" max="8934" width="8.6328125" style="247" customWidth="1"/>
    <col min="8935" max="8935" width="8.81640625" style="247"/>
    <col min="8936" max="8937" width="9.1796875" style="247" customWidth="1"/>
    <col min="8938" max="8938" width="8.81640625" style="247"/>
    <col min="8939" max="8939" width="9.1796875" style="247" customWidth="1"/>
    <col min="8940" max="8940" width="8.81640625" style="247"/>
    <col min="8941" max="8941" width="9.1796875" style="247" customWidth="1"/>
    <col min="8942" max="8942" width="8.81640625" style="247"/>
    <col min="8943" max="8943" width="9.1796875" style="247" customWidth="1"/>
    <col min="8944" max="8944" width="8.81640625" style="247"/>
    <col min="8945" max="8945" width="9.1796875" style="247" customWidth="1"/>
    <col min="8946" max="8946" width="8.81640625" style="247"/>
    <col min="8947" max="8947" width="9.1796875" style="247" customWidth="1"/>
    <col min="8948" max="8948" width="8.81640625" style="247"/>
    <col min="8949" max="8949" width="9.1796875" style="247" customWidth="1"/>
    <col min="8950" max="8950" width="8.81640625" style="247"/>
    <col min="8951" max="8951" width="9.1796875" style="247" customWidth="1"/>
    <col min="8952" max="8952" width="8.81640625" style="247"/>
    <col min="8953" max="8953" width="9.1796875" style="247" customWidth="1"/>
    <col min="8954" max="8954" width="8" style="247" bestFit="1" customWidth="1"/>
    <col min="8955" max="8955" width="8.6328125" style="247" bestFit="1" customWidth="1"/>
    <col min="8956" max="8956" width="5.1796875" style="247" bestFit="1" customWidth="1"/>
    <col min="8957" max="8957" width="5.6328125" style="247" bestFit="1" customWidth="1"/>
    <col min="8958" max="8958" width="6.1796875" style="247" bestFit="1" customWidth="1"/>
    <col min="8959" max="8959" width="4.81640625" style="247" bestFit="1" customWidth="1"/>
    <col min="8960" max="8960" width="9.1796875" style="247" customWidth="1"/>
    <col min="8961" max="8961" width="7" style="247" customWidth="1"/>
    <col min="8962" max="8962" width="8.81640625" style="247"/>
    <col min="8963" max="8963" width="4.453125" style="247" bestFit="1" customWidth="1"/>
    <col min="8964" max="8964" width="4.6328125" style="247" customWidth="1"/>
    <col min="8965" max="8965" width="8.81640625" style="247"/>
    <col min="8966" max="8966" width="5.453125" style="247" bestFit="1" customWidth="1"/>
    <col min="8967" max="8967" width="5.36328125" style="247" bestFit="1" customWidth="1"/>
    <col min="8968" max="8968" width="5" style="247" bestFit="1" customWidth="1"/>
    <col min="8969" max="8969" width="4.6328125" style="247" bestFit="1" customWidth="1"/>
    <col min="8970" max="8970" width="5.1796875" style="247" customWidth="1"/>
    <col min="8971" max="8971" width="8.6328125" style="247" bestFit="1" customWidth="1"/>
    <col min="8972" max="8972" width="9.453125" style="247" bestFit="1" customWidth="1"/>
    <col min="8973" max="8973" width="8.81640625" style="247"/>
    <col min="8974" max="8974" width="9.81640625" style="247" bestFit="1" customWidth="1"/>
    <col min="8975" max="9172" width="8.81640625" style="247"/>
    <col min="9173" max="9173" width="14.1796875" style="247" bestFit="1" customWidth="1"/>
    <col min="9174" max="9174" width="15.453125" style="247" bestFit="1" customWidth="1"/>
    <col min="9175" max="9175" width="12.453125" style="247" bestFit="1" customWidth="1"/>
    <col min="9176" max="9176" width="6" style="247" bestFit="1" customWidth="1"/>
    <col min="9177" max="9177" width="4.81640625" style="247" bestFit="1" customWidth="1"/>
    <col min="9178" max="9178" width="6.453125" style="247" bestFit="1" customWidth="1"/>
    <col min="9179" max="9179" width="5.36328125" style="247" bestFit="1" customWidth="1"/>
    <col min="9180" max="9180" width="5.6328125" style="247" bestFit="1" customWidth="1"/>
    <col min="9181" max="9181" width="8.81640625" style="247"/>
    <col min="9182" max="9182" width="10.1796875" style="247" bestFit="1" customWidth="1"/>
    <col min="9183" max="9183" width="8.81640625" style="247"/>
    <col min="9184" max="9184" width="9.1796875" style="247" customWidth="1"/>
    <col min="9185" max="9185" width="8.81640625" style="247"/>
    <col min="9186" max="9186" width="4.453125" style="247" bestFit="1" customWidth="1"/>
    <col min="9187" max="9187" width="8.81640625" style="247"/>
    <col min="9188" max="9188" width="9.81640625" style="247" bestFit="1" customWidth="1"/>
    <col min="9189" max="9189" width="8" style="247" bestFit="1" customWidth="1"/>
    <col min="9190" max="9190" width="8.6328125" style="247" customWidth="1"/>
    <col min="9191" max="9191" width="8.81640625" style="247"/>
    <col min="9192" max="9193" width="9.1796875" style="247" customWidth="1"/>
    <col min="9194" max="9194" width="8.81640625" style="247"/>
    <col min="9195" max="9195" width="9.1796875" style="247" customWidth="1"/>
    <col min="9196" max="9196" width="8.81640625" style="247"/>
    <col min="9197" max="9197" width="9.1796875" style="247" customWidth="1"/>
    <col min="9198" max="9198" width="8.81640625" style="247"/>
    <col min="9199" max="9199" width="9.1796875" style="247" customWidth="1"/>
    <col min="9200" max="9200" width="8.81640625" style="247"/>
    <col min="9201" max="9201" width="9.1796875" style="247" customWidth="1"/>
    <col min="9202" max="9202" width="8.81640625" style="247"/>
    <col min="9203" max="9203" width="9.1796875" style="247" customWidth="1"/>
    <col min="9204" max="9204" width="8.81640625" style="247"/>
    <col min="9205" max="9205" width="9.1796875" style="247" customWidth="1"/>
    <col min="9206" max="9206" width="8.81640625" style="247"/>
    <col min="9207" max="9207" width="9.1796875" style="247" customWidth="1"/>
    <col min="9208" max="9208" width="8.81640625" style="247"/>
    <col min="9209" max="9209" width="9.1796875" style="247" customWidth="1"/>
    <col min="9210" max="9210" width="8" style="247" bestFit="1" customWidth="1"/>
    <col min="9211" max="9211" width="8.6328125" style="247" bestFit="1" customWidth="1"/>
    <col min="9212" max="9212" width="5.1796875" style="247" bestFit="1" customWidth="1"/>
    <col min="9213" max="9213" width="5.6328125" style="247" bestFit="1" customWidth="1"/>
    <col min="9214" max="9214" width="6.1796875" style="247" bestFit="1" customWidth="1"/>
    <col min="9215" max="9215" width="4.81640625" style="247" bestFit="1" customWidth="1"/>
    <col min="9216" max="9216" width="9.1796875" style="247" customWidth="1"/>
    <col min="9217" max="9217" width="7" style="247" customWidth="1"/>
    <col min="9218" max="9218" width="8.81640625" style="247"/>
    <col min="9219" max="9219" width="4.453125" style="247" bestFit="1" customWidth="1"/>
    <col min="9220" max="9220" width="4.6328125" style="247" customWidth="1"/>
    <col min="9221" max="9221" width="8.81640625" style="247"/>
    <col min="9222" max="9222" width="5.453125" style="247" bestFit="1" customWidth="1"/>
    <col min="9223" max="9223" width="5.36328125" style="247" bestFit="1" customWidth="1"/>
    <col min="9224" max="9224" width="5" style="247" bestFit="1" customWidth="1"/>
    <col min="9225" max="9225" width="4.6328125" style="247" bestFit="1" customWidth="1"/>
    <col min="9226" max="9226" width="5.1796875" style="247" customWidth="1"/>
    <col min="9227" max="9227" width="8.6328125" style="247" bestFit="1" customWidth="1"/>
    <col min="9228" max="9228" width="9.453125" style="247" bestFit="1" customWidth="1"/>
    <col min="9229" max="9229" width="8.81640625" style="247"/>
    <col min="9230" max="9230" width="9.81640625" style="247" bestFit="1" customWidth="1"/>
    <col min="9231" max="9428" width="8.81640625" style="247"/>
    <col min="9429" max="9429" width="14.1796875" style="247" bestFit="1" customWidth="1"/>
    <col min="9430" max="9430" width="15.453125" style="247" bestFit="1" customWidth="1"/>
    <col min="9431" max="9431" width="12.453125" style="247" bestFit="1" customWidth="1"/>
    <col min="9432" max="9432" width="6" style="247" bestFit="1" customWidth="1"/>
    <col min="9433" max="9433" width="4.81640625" style="247" bestFit="1" customWidth="1"/>
    <col min="9434" max="9434" width="6.453125" style="247" bestFit="1" customWidth="1"/>
    <col min="9435" max="9435" width="5.36328125" style="247" bestFit="1" customWidth="1"/>
    <col min="9436" max="9436" width="5.6328125" style="247" bestFit="1" customWidth="1"/>
    <col min="9437" max="9437" width="8.81640625" style="247"/>
    <col min="9438" max="9438" width="10.1796875" style="247" bestFit="1" customWidth="1"/>
    <col min="9439" max="9439" width="8.81640625" style="247"/>
    <col min="9440" max="9440" width="9.1796875" style="247" customWidth="1"/>
    <col min="9441" max="9441" width="8.81640625" style="247"/>
    <col min="9442" max="9442" width="4.453125" style="247" bestFit="1" customWidth="1"/>
    <col min="9443" max="9443" width="8.81640625" style="247"/>
    <col min="9444" max="9444" width="9.81640625" style="247" bestFit="1" customWidth="1"/>
    <col min="9445" max="9445" width="8" style="247" bestFit="1" customWidth="1"/>
    <col min="9446" max="9446" width="8.6328125" style="247" customWidth="1"/>
    <col min="9447" max="9447" width="8.81640625" style="247"/>
    <col min="9448" max="9449" width="9.1796875" style="247" customWidth="1"/>
    <col min="9450" max="9450" width="8.81640625" style="247"/>
    <col min="9451" max="9451" width="9.1796875" style="247" customWidth="1"/>
    <col min="9452" max="9452" width="8.81640625" style="247"/>
    <col min="9453" max="9453" width="9.1796875" style="247" customWidth="1"/>
    <col min="9454" max="9454" width="8.81640625" style="247"/>
    <col min="9455" max="9455" width="9.1796875" style="247" customWidth="1"/>
    <col min="9456" max="9456" width="8.81640625" style="247"/>
    <col min="9457" max="9457" width="9.1796875" style="247" customWidth="1"/>
    <col min="9458" max="9458" width="8.81640625" style="247"/>
    <col min="9459" max="9459" width="9.1796875" style="247" customWidth="1"/>
    <col min="9460" max="9460" width="8.81640625" style="247"/>
    <col min="9461" max="9461" width="9.1796875" style="247" customWidth="1"/>
    <col min="9462" max="9462" width="8.81640625" style="247"/>
    <col min="9463" max="9463" width="9.1796875" style="247" customWidth="1"/>
    <col min="9464" max="9464" width="8.81640625" style="247"/>
    <col min="9465" max="9465" width="9.1796875" style="247" customWidth="1"/>
    <col min="9466" max="9466" width="8" style="247" bestFit="1" customWidth="1"/>
    <col min="9467" max="9467" width="8.6328125" style="247" bestFit="1" customWidth="1"/>
    <col min="9468" max="9468" width="5.1796875" style="247" bestFit="1" customWidth="1"/>
    <col min="9469" max="9469" width="5.6328125" style="247" bestFit="1" customWidth="1"/>
    <col min="9470" max="9470" width="6.1796875" style="247" bestFit="1" customWidth="1"/>
    <col min="9471" max="9471" width="4.81640625" style="247" bestFit="1" customWidth="1"/>
    <col min="9472" max="9472" width="9.1796875" style="247" customWidth="1"/>
    <col min="9473" max="9473" width="7" style="247" customWidth="1"/>
    <col min="9474" max="9474" width="8.81640625" style="247"/>
    <col min="9475" max="9475" width="4.453125" style="247" bestFit="1" customWidth="1"/>
    <col min="9476" max="9476" width="4.6328125" style="247" customWidth="1"/>
    <col min="9477" max="9477" width="8.81640625" style="247"/>
    <col min="9478" max="9478" width="5.453125" style="247" bestFit="1" customWidth="1"/>
    <col min="9479" max="9479" width="5.36328125" style="247" bestFit="1" customWidth="1"/>
    <col min="9480" max="9480" width="5" style="247" bestFit="1" customWidth="1"/>
    <col min="9481" max="9481" width="4.6328125" style="247" bestFit="1" customWidth="1"/>
    <col min="9482" max="9482" width="5.1796875" style="247" customWidth="1"/>
    <col min="9483" max="9483" width="8.6328125" style="247" bestFit="1" customWidth="1"/>
    <col min="9484" max="9484" width="9.453125" style="247" bestFit="1" customWidth="1"/>
    <col min="9485" max="9485" width="8.81640625" style="247"/>
    <col min="9486" max="9486" width="9.81640625" style="247" bestFit="1" customWidth="1"/>
    <col min="9487" max="9684" width="8.81640625" style="247"/>
    <col min="9685" max="9685" width="14.1796875" style="247" bestFit="1" customWidth="1"/>
    <col min="9686" max="9686" width="15.453125" style="247" bestFit="1" customWidth="1"/>
    <col min="9687" max="9687" width="12.453125" style="247" bestFit="1" customWidth="1"/>
    <col min="9688" max="9688" width="6" style="247" bestFit="1" customWidth="1"/>
    <col min="9689" max="9689" width="4.81640625" style="247" bestFit="1" customWidth="1"/>
    <col min="9690" max="9690" width="6.453125" style="247" bestFit="1" customWidth="1"/>
    <col min="9691" max="9691" width="5.36328125" style="247" bestFit="1" customWidth="1"/>
    <col min="9692" max="9692" width="5.6328125" style="247" bestFit="1" customWidth="1"/>
    <col min="9693" max="9693" width="8.81640625" style="247"/>
    <col min="9694" max="9694" width="10.1796875" style="247" bestFit="1" customWidth="1"/>
    <col min="9695" max="9695" width="8.81640625" style="247"/>
    <col min="9696" max="9696" width="9.1796875" style="247" customWidth="1"/>
    <col min="9697" max="9697" width="8.81640625" style="247"/>
    <col min="9698" max="9698" width="4.453125" style="247" bestFit="1" customWidth="1"/>
    <col min="9699" max="9699" width="8.81640625" style="247"/>
    <col min="9700" max="9700" width="9.81640625" style="247" bestFit="1" customWidth="1"/>
    <col min="9701" max="9701" width="8" style="247" bestFit="1" customWidth="1"/>
    <col min="9702" max="9702" width="8.6328125" style="247" customWidth="1"/>
    <col min="9703" max="9703" width="8.81640625" style="247"/>
    <col min="9704" max="9705" width="9.1796875" style="247" customWidth="1"/>
    <col min="9706" max="9706" width="8.81640625" style="247"/>
    <col min="9707" max="9707" width="9.1796875" style="247" customWidth="1"/>
    <col min="9708" max="9708" width="8.81640625" style="247"/>
    <col min="9709" max="9709" width="9.1796875" style="247" customWidth="1"/>
    <col min="9710" max="9710" width="8.81640625" style="247"/>
    <col min="9711" max="9711" width="9.1796875" style="247" customWidth="1"/>
    <col min="9712" max="9712" width="8.81640625" style="247"/>
    <col min="9713" max="9713" width="9.1796875" style="247" customWidth="1"/>
    <col min="9714" max="9714" width="8.81640625" style="247"/>
    <col min="9715" max="9715" width="9.1796875" style="247" customWidth="1"/>
    <col min="9716" max="9716" width="8.81640625" style="247"/>
    <col min="9717" max="9717" width="9.1796875" style="247" customWidth="1"/>
    <col min="9718" max="9718" width="8.81640625" style="247"/>
    <col min="9719" max="9719" width="9.1796875" style="247" customWidth="1"/>
    <col min="9720" max="9720" width="8.81640625" style="247"/>
    <col min="9721" max="9721" width="9.1796875" style="247" customWidth="1"/>
    <col min="9722" max="9722" width="8" style="247" bestFit="1" customWidth="1"/>
    <col min="9723" max="9723" width="8.6328125" style="247" bestFit="1" customWidth="1"/>
    <col min="9724" max="9724" width="5.1796875" style="247" bestFit="1" customWidth="1"/>
    <col min="9725" max="9725" width="5.6328125" style="247" bestFit="1" customWidth="1"/>
    <col min="9726" max="9726" width="6.1796875" style="247" bestFit="1" customWidth="1"/>
    <col min="9727" max="9727" width="4.81640625" style="247" bestFit="1" customWidth="1"/>
    <col min="9728" max="9728" width="9.1796875" style="247" customWidth="1"/>
    <col min="9729" max="9729" width="7" style="247" customWidth="1"/>
    <col min="9730" max="9730" width="8.81640625" style="247"/>
    <col min="9731" max="9731" width="4.453125" style="247" bestFit="1" customWidth="1"/>
    <col min="9732" max="9732" width="4.6328125" style="247" customWidth="1"/>
    <col min="9733" max="9733" width="8.81640625" style="247"/>
    <col min="9734" max="9734" width="5.453125" style="247" bestFit="1" customWidth="1"/>
    <col min="9735" max="9735" width="5.36328125" style="247" bestFit="1" customWidth="1"/>
    <col min="9736" max="9736" width="5" style="247" bestFit="1" customWidth="1"/>
    <col min="9737" max="9737" width="4.6328125" style="247" bestFit="1" customWidth="1"/>
    <col min="9738" max="9738" width="5.1796875" style="247" customWidth="1"/>
    <col min="9739" max="9739" width="8.6328125" style="247" bestFit="1" customWidth="1"/>
    <col min="9740" max="9740" width="9.453125" style="247" bestFit="1" customWidth="1"/>
    <col min="9741" max="9741" width="8.81640625" style="247"/>
    <col min="9742" max="9742" width="9.81640625" style="247" bestFit="1" customWidth="1"/>
    <col min="9743" max="9940" width="8.81640625" style="247"/>
    <col min="9941" max="9941" width="14.1796875" style="247" bestFit="1" customWidth="1"/>
    <col min="9942" max="9942" width="15.453125" style="247" bestFit="1" customWidth="1"/>
    <col min="9943" max="9943" width="12.453125" style="247" bestFit="1" customWidth="1"/>
    <col min="9944" max="9944" width="6" style="247" bestFit="1" customWidth="1"/>
    <col min="9945" max="9945" width="4.81640625" style="247" bestFit="1" customWidth="1"/>
    <col min="9946" max="9946" width="6.453125" style="247" bestFit="1" customWidth="1"/>
    <col min="9947" max="9947" width="5.36328125" style="247" bestFit="1" customWidth="1"/>
    <col min="9948" max="9948" width="5.6328125" style="247" bestFit="1" customWidth="1"/>
    <col min="9949" max="9949" width="8.81640625" style="247"/>
    <col min="9950" max="9950" width="10.1796875" style="247" bestFit="1" customWidth="1"/>
    <col min="9951" max="9951" width="8.81640625" style="247"/>
    <col min="9952" max="9952" width="9.1796875" style="247" customWidth="1"/>
    <col min="9953" max="9953" width="8.81640625" style="247"/>
    <col min="9954" max="9954" width="4.453125" style="247" bestFit="1" customWidth="1"/>
    <col min="9955" max="9955" width="8.81640625" style="247"/>
    <col min="9956" max="9956" width="9.81640625" style="247" bestFit="1" customWidth="1"/>
    <col min="9957" max="9957" width="8" style="247" bestFit="1" customWidth="1"/>
    <col min="9958" max="9958" width="8.6328125" style="247" customWidth="1"/>
    <col min="9959" max="9959" width="8.81640625" style="247"/>
    <col min="9960" max="9961" width="9.1796875" style="247" customWidth="1"/>
    <col min="9962" max="9962" width="8.81640625" style="247"/>
    <col min="9963" max="9963" width="9.1796875" style="247" customWidth="1"/>
    <col min="9964" max="9964" width="8.81640625" style="247"/>
    <col min="9965" max="9965" width="9.1796875" style="247" customWidth="1"/>
    <col min="9966" max="9966" width="8.81640625" style="247"/>
    <col min="9967" max="9967" width="9.1796875" style="247" customWidth="1"/>
    <col min="9968" max="9968" width="8.81640625" style="247"/>
    <col min="9969" max="9969" width="9.1796875" style="247" customWidth="1"/>
    <col min="9970" max="9970" width="8.81640625" style="247"/>
    <col min="9971" max="9971" width="9.1796875" style="247" customWidth="1"/>
    <col min="9972" max="9972" width="8.81640625" style="247"/>
    <col min="9973" max="9973" width="9.1796875" style="247" customWidth="1"/>
    <col min="9974" max="9974" width="8.81640625" style="247"/>
    <col min="9975" max="9975" width="9.1796875" style="247" customWidth="1"/>
    <col min="9976" max="9976" width="8.81640625" style="247"/>
    <col min="9977" max="9977" width="9.1796875" style="247" customWidth="1"/>
    <col min="9978" max="9978" width="8" style="247" bestFit="1" customWidth="1"/>
    <col min="9979" max="9979" width="8.6328125" style="247" bestFit="1" customWidth="1"/>
    <col min="9980" max="9980" width="5.1796875" style="247" bestFit="1" customWidth="1"/>
    <col min="9981" max="9981" width="5.6328125" style="247" bestFit="1" customWidth="1"/>
    <col min="9982" max="9982" width="6.1796875" style="247" bestFit="1" customWidth="1"/>
    <col min="9983" max="9983" width="4.81640625" style="247" bestFit="1" customWidth="1"/>
    <col min="9984" max="9984" width="9.1796875" style="247" customWidth="1"/>
    <col min="9985" max="9985" width="7" style="247" customWidth="1"/>
    <col min="9986" max="9986" width="8.81640625" style="247"/>
    <col min="9987" max="9987" width="4.453125" style="247" bestFit="1" customWidth="1"/>
    <col min="9988" max="9988" width="4.6328125" style="247" customWidth="1"/>
    <col min="9989" max="9989" width="8.81640625" style="247"/>
    <col min="9990" max="9990" width="5.453125" style="247" bestFit="1" customWidth="1"/>
    <col min="9991" max="9991" width="5.36328125" style="247" bestFit="1" customWidth="1"/>
    <col min="9992" max="9992" width="5" style="247" bestFit="1" customWidth="1"/>
    <col min="9993" max="9993" width="4.6328125" style="247" bestFit="1" customWidth="1"/>
    <col min="9994" max="9994" width="5.1796875" style="247" customWidth="1"/>
    <col min="9995" max="9995" width="8.6328125" style="247" bestFit="1" customWidth="1"/>
    <col min="9996" max="9996" width="9.453125" style="247" bestFit="1" customWidth="1"/>
    <col min="9997" max="9997" width="8.81640625" style="247"/>
    <col min="9998" max="9998" width="9.81640625" style="247" bestFit="1" customWidth="1"/>
    <col min="9999" max="10196" width="8.81640625" style="247"/>
    <col min="10197" max="10197" width="14.1796875" style="247" bestFit="1" customWidth="1"/>
    <col min="10198" max="10198" width="15.453125" style="247" bestFit="1" customWidth="1"/>
    <col min="10199" max="10199" width="12.453125" style="247" bestFit="1" customWidth="1"/>
    <col min="10200" max="10200" width="6" style="247" bestFit="1" customWidth="1"/>
    <col min="10201" max="10201" width="4.81640625" style="247" bestFit="1" customWidth="1"/>
    <col min="10202" max="10202" width="6.453125" style="247" bestFit="1" customWidth="1"/>
    <col min="10203" max="10203" width="5.36328125" style="247" bestFit="1" customWidth="1"/>
    <col min="10204" max="10204" width="5.6328125" style="247" bestFit="1" customWidth="1"/>
    <col min="10205" max="10205" width="8.81640625" style="247"/>
    <col min="10206" max="10206" width="10.1796875" style="247" bestFit="1" customWidth="1"/>
    <col min="10207" max="10207" width="8.81640625" style="247"/>
    <col min="10208" max="10208" width="9.1796875" style="247" customWidth="1"/>
    <col min="10209" max="10209" width="8.81640625" style="247"/>
    <col min="10210" max="10210" width="4.453125" style="247" bestFit="1" customWidth="1"/>
    <col min="10211" max="10211" width="8.81640625" style="247"/>
    <col min="10212" max="10212" width="9.81640625" style="247" bestFit="1" customWidth="1"/>
    <col min="10213" max="10213" width="8" style="247" bestFit="1" customWidth="1"/>
    <col min="10214" max="10214" width="8.6328125" style="247" customWidth="1"/>
    <col min="10215" max="10215" width="8.81640625" style="247"/>
    <col min="10216" max="10217" width="9.1796875" style="247" customWidth="1"/>
    <col min="10218" max="10218" width="8.81640625" style="247"/>
    <col min="10219" max="10219" width="9.1796875" style="247" customWidth="1"/>
    <col min="10220" max="10220" width="8.81640625" style="247"/>
    <col min="10221" max="10221" width="9.1796875" style="247" customWidth="1"/>
    <col min="10222" max="10222" width="8.81640625" style="247"/>
    <col min="10223" max="10223" width="9.1796875" style="247" customWidth="1"/>
    <col min="10224" max="10224" width="8.81640625" style="247"/>
    <col min="10225" max="10225" width="9.1796875" style="247" customWidth="1"/>
    <col min="10226" max="10226" width="8.81640625" style="247"/>
    <col min="10227" max="10227" width="9.1796875" style="247" customWidth="1"/>
    <col min="10228" max="10228" width="8.81640625" style="247"/>
    <col min="10229" max="10229" width="9.1796875" style="247" customWidth="1"/>
    <col min="10230" max="10230" width="8.81640625" style="247"/>
    <col min="10231" max="10231" width="9.1796875" style="247" customWidth="1"/>
    <col min="10232" max="10232" width="8.81640625" style="247"/>
    <col min="10233" max="10233" width="9.1796875" style="247" customWidth="1"/>
    <col min="10234" max="10234" width="8" style="247" bestFit="1" customWidth="1"/>
    <col min="10235" max="10235" width="8.6328125" style="247" bestFit="1" customWidth="1"/>
    <col min="10236" max="10236" width="5.1796875" style="247" bestFit="1" customWidth="1"/>
    <col min="10237" max="10237" width="5.6328125" style="247" bestFit="1" customWidth="1"/>
    <col min="10238" max="10238" width="6.1796875" style="247" bestFit="1" customWidth="1"/>
    <col min="10239" max="10239" width="4.81640625" style="247" bestFit="1" customWidth="1"/>
    <col min="10240" max="10240" width="9.1796875" style="247" customWidth="1"/>
    <col min="10241" max="10241" width="7" style="247" customWidth="1"/>
    <col min="10242" max="10242" width="8.81640625" style="247"/>
    <col min="10243" max="10243" width="4.453125" style="247" bestFit="1" customWidth="1"/>
    <col min="10244" max="10244" width="4.6328125" style="247" customWidth="1"/>
    <col min="10245" max="10245" width="8.81640625" style="247"/>
    <col min="10246" max="10246" width="5.453125" style="247" bestFit="1" customWidth="1"/>
    <col min="10247" max="10247" width="5.36328125" style="247" bestFit="1" customWidth="1"/>
    <col min="10248" max="10248" width="5" style="247" bestFit="1" customWidth="1"/>
    <col min="10249" max="10249" width="4.6328125" style="247" bestFit="1" customWidth="1"/>
    <col min="10250" max="10250" width="5.1796875" style="247" customWidth="1"/>
    <col min="10251" max="10251" width="8.6328125" style="247" bestFit="1" customWidth="1"/>
    <col min="10252" max="10252" width="9.453125" style="247" bestFit="1" customWidth="1"/>
    <col min="10253" max="10253" width="8.81640625" style="247"/>
    <col min="10254" max="10254" width="9.81640625" style="247" bestFit="1" customWidth="1"/>
    <col min="10255" max="10452" width="8.81640625" style="247"/>
    <col min="10453" max="10453" width="14.1796875" style="247" bestFit="1" customWidth="1"/>
    <col min="10454" max="10454" width="15.453125" style="247" bestFit="1" customWidth="1"/>
    <col min="10455" max="10455" width="12.453125" style="247" bestFit="1" customWidth="1"/>
    <col min="10456" max="10456" width="6" style="247" bestFit="1" customWidth="1"/>
    <col min="10457" max="10457" width="4.81640625" style="247" bestFit="1" customWidth="1"/>
    <col min="10458" max="10458" width="6.453125" style="247" bestFit="1" customWidth="1"/>
    <col min="10459" max="10459" width="5.36328125" style="247" bestFit="1" customWidth="1"/>
    <col min="10460" max="10460" width="5.6328125" style="247" bestFit="1" customWidth="1"/>
    <col min="10461" max="10461" width="8.81640625" style="247"/>
    <col min="10462" max="10462" width="10.1796875" style="247" bestFit="1" customWidth="1"/>
    <col min="10463" max="10463" width="8.81640625" style="247"/>
    <col min="10464" max="10464" width="9.1796875" style="247" customWidth="1"/>
    <col min="10465" max="10465" width="8.81640625" style="247"/>
    <col min="10466" max="10466" width="4.453125" style="247" bestFit="1" customWidth="1"/>
    <col min="10467" max="10467" width="8.81640625" style="247"/>
    <col min="10468" max="10468" width="9.81640625" style="247" bestFit="1" customWidth="1"/>
    <col min="10469" max="10469" width="8" style="247" bestFit="1" customWidth="1"/>
    <col min="10470" max="10470" width="8.6328125" style="247" customWidth="1"/>
    <col min="10471" max="10471" width="8.81640625" style="247"/>
    <col min="10472" max="10473" width="9.1796875" style="247" customWidth="1"/>
    <col min="10474" max="10474" width="8.81640625" style="247"/>
    <col min="10475" max="10475" width="9.1796875" style="247" customWidth="1"/>
    <col min="10476" max="10476" width="8.81640625" style="247"/>
    <col min="10477" max="10477" width="9.1796875" style="247" customWidth="1"/>
    <col min="10478" max="10478" width="8.81640625" style="247"/>
    <col min="10479" max="10479" width="9.1796875" style="247" customWidth="1"/>
    <col min="10480" max="10480" width="8.81640625" style="247"/>
    <col min="10481" max="10481" width="9.1796875" style="247" customWidth="1"/>
    <col min="10482" max="10482" width="8.81640625" style="247"/>
    <col min="10483" max="10483" width="9.1796875" style="247" customWidth="1"/>
    <col min="10484" max="10484" width="8.81640625" style="247"/>
    <col min="10485" max="10485" width="9.1796875" style="247" customWidth="1"/>
    <col min="10486" max="10486" width="8.81640625" style="247"/>
    <col min="10487" max="10487" width="9.1796875" style="247" customWidth="1"/>
    <col min="10488" max="10488" width="8.81640625" style="247"/>
    <col min="10489" max="10489" width="9.1796875" style="247" customWidth="1"/>
    <col min="10490" max="10490" width="8" style="247" bestFit="1" customWidth="1"/>
    <col min="10491" max="10491" width="8.6328125" style="247" bestFit="1" customWidth="1"/>
    <col min="10492" max="10492" width="5.1796875" style="247" bestFit="1" customWidth="1"/>
    <col min="10493" max="10493" width="5.6328125" style="247" bestFit="1" customWidth="1"/>
    <col min="10494" max="10494" width="6.1796875" style="247" bestFit="1" customWidth="1"/>
    <col min="10495" max="10495" width="4.81640625" style="247" bestFit="1" customWidth="1"/>
    <col min="10496" max="10496" width="9.1796875" style="247" customWidth="1"/>
    <col min="10497" max="10497" width="7" style="247" customWidth="1"/>
    <col min="10498" max="10498" width="8.81640625" style="247"/>
    <col min="10499" max="10499" width="4.453125" style="247" bestFit="1" customWidth="1"/>
    <col min="10500" max="10500" width="4.6328125" style="247" customWidth="1"/>
    <col min="10501" max="10501" width="8.81640625" style="247"/>
    <col min="10502" max="10502" width="5.453125" style="247" bestFit="1" customWidth="1"/>
    <col min="10503" max="10503" width="5.36328125" style="247" bestFit="1" customWidth="1"/>
    <col min="10504" max="10504" width="5" style="247" bestFit="1" customWidth="1"/>
    <col min="10505" max="10505" width="4.6328125" style="247" bestFit="1" customWidth="1"/>
    <col min="10506" max="10506" width="5.1796875" style="247" customWidth="1"/>
    <col min="10507" max="10507" width="8.6328125" style="247" bestFit="1" customWidth="1"/>
    <col min="10508" max="10508" width="9.453125" style="247" bestFit="1" customWidth="1"/>
    <col min="10509" max="10509" width="8.81640625" style="247"/>
    <col min="10510" max="10510" width="9.81640625" style="247" bestFit="1" customWidth="1"/>
    <col min="10511" max="10708" width="8.81640625" style="247"/>
    <col min="10709" max="10709" width="14.1796875" style="247" bestFit="1" customWidth="1"/>
    <col min="10710" max="10710" width="15.453125" style="247" bestFit="1" customWidth="1"/>
    <col min="10711" max="10711" width="12.453125" style="247" bestFit="1" customWidth="1"/>
    <col min="10712" max="10712" width="6" style="247" bestFit="1" customWidth="1"/>
    <col min="10713" max="10713" width="4.81640625" style="247" bestFit="1" customWidth="1"/>
    <col min="10714" max="10714" width="6.453125" style="247" bestFit="1" customWidth="1"/>
    <col min="10715" max="10715" width="5.36328125" style="247" bestFit="1" customWidth="1"/>
    <col min="10716" max="10716" width="5.6328125" style="247" bestFit="1" customWidth="1"/>
    <col min="10717" max="10717" width="8.81640625" style="247"/>
    <col min="10718" max="10718" width="10.1796875" style="247" bestFit="1" customWidth="1"/>
    <col min="10719" max="10719" width="8.81640625" style="247"/>
    <col min="10720" max="10720" width="9.1796875" style="247" customWidth="1"/>
    <col min="10721" max="10721" width="8.81640625" style="247"/>
    <col min="10722" max="10722" width="4.453125" style="247" bestFit="1" customWidth="1"/>
    <col min="10723" max="10723" width="8.81640625" style="247"/>
    <col min="10724" max="10724" width="9.81640625" style="247" bestFit="1" customWidth="1"/>
    <col min="10725" max="10725" width="8" style="247" bestFit="1" customWidth="1"/>
    <col min="10726" max="10726" width="8.6328125" style="247" customWidth="1"/>
    <col min="10727" max="10727" width="8.81640625" style="247"/>
    <col min="10728" max="10729" width="9.1796875" style="247" customWidth="1"/>
    <col min="10730" max="10730" width="8.81640625" style="247"/>
    <col min="10731" max="10731" width="9.1796875" style="247" customWidth="1"/>
    <col min="10732" max="10732" width="8.81640625" style="247"/>
    <col min="10733" max="10733" width="9.1796875" style="247" customWidth="1"/>
    <col min="10734" max="10734" width="8.81640625" style="247"/>
    <col min="10735" max="10735" width="9.1796875" style="247" customWidth="1"/>
    <col min="10736" max="10736" width="8.81640625" style="247"/>
    <col min="10737" max="10737" width="9.1796875" style="247" customWidth="1"/>
    <col min="10738" max="10738" width="8.81640625" style="247"/>
    <col min="10739" max="10739" width="9.1796875" style="247" customWidth="1"/>
    <col min="10740" max="10740" width="8.81640625" style="247"/>
    <col min="10741" max="10741" width="9.1796875" style="247" customWidth="1"/>
    <col min="10742" max="10742" width="8.81640625" style="247"/>
    <col min="10743" max="10743" width="9.1796875" style="247" customWidth="1"/>
    <col min="10744" max="10744" width="8.81640625" style="247"/>
    <col min="10745" max="10745" width="9.1796875" style="247" customWidth="1"/>
    <col min="10746" max="10746" width="8" style="247" bestFit="1" customWidth="1"/>
    <col min="10747" max="10747" width="8.6328125" style="247" bestFit="1" customWidth="1"/>
    <col min="10748" max="10748" width="5.1796875" style="247" bestFit="1" customWidth="1"/>
    <col min="10749" max="10749" width="5.6328125" style="247" bestFit="1" customWidth="1"/>
    <col min="10750" max="10750" width="6.1796875" style="247" bestFit="1" customWidth="1"/>
    <col min="10751" max="10751" width="4.81640625" style="247" bestFit="1" customWidth="1"/>
    <col min="10752" max="10752" width="9.1796875" style="247" customWidth="1"/>
    <col min="10753" max="10753" width="7" style="247" customWidth="1"/>
    <col min="10754" max="10754" width="8.81640625" style="247"/>
    <col min="10755" max="10755" width="4.453125" style="247" bestFit="1" customWidth="1"/>
    <col min="10756" max="10756" width="4.6328125" style="247" customWidth="1"/>
    <col min="10757" max="10757" width="8.81640625" style="247"/>
    <col min="10758" max="10758" width="5.453125" style="247" bestFit="1" customWidth="1"/>
    <col min="10759" max="10759" width="5.36328125" style="247" bestFit="1" customWidth="1"/>
    <col min="10760" max="10760" width="5" style="247" bestFit="1" customWidth="1"/>
    <col min="10761" max="10761" width="4.6328125" style="247" bestFit="1" customWidth="1"/>
    <col min="10762" max="10762" width="5.1796875" style="247" customWidth="1"/>
    <col min="10763" max="10763" width="8.6328125" style="247" bestFit="1" customWidth="1"/>
    <col min="10764" max="10764" width="9.453125" style="247" bestFit="1" customWidth="1"/>
    <col min="10765" max="10765" width="8.81640625" style="247"/>
    <col min="10766" max="10766" width="9.81640625" style="247" bestFit="1" customWidth="1"/>
    <col min="10767" max="10964" width="8.81640625" style="247"/>
    <col min="10965" max="10965" width="14.1796875" style="247" bestFit="1" customWidth="1"/>
    <col min="10966" max="10966" width="15.453125" style="247" bestFit="1" customWidth="1"/>
    <col min="10967" max="10967" width="12.453125" style="247" bestFit="1" customWidth="1"/>
    <col min="10968" max="10968" width="6" style="247" bestFit="1" customWidth="1"/>
    <col min="10969" max="10969" width="4.81640625" style="247" bestFit="1" customWidth="1"/>
    <col min="10970" max="10970" width="6.453125" style="247" bestFit="1" customWidth="1"/>
    <col min="10971" max="10971" width="5.36328125" style="247" bestFit="1" customWidth="1"/>
    <col min="10972" max="10972" width="5.6328125" style="247" bestFit="1" customWidth="1"/>
    <col min="10973" max="10973" width="8.81640625" style="247"/>
    <col min="10974" max="10974" width="10.1796875" style="247" bestFit="1" customWidth="1"/>
    <col min="10975" max="10975" width="8.81640625" style="247"/>
    <col min="10976" max="10976" width="9.1796875" style="247" customWidth="1"/>
    <col min="10977" max="10977" width="8.81640625" style="247"/>
    <col min="10978" max="10978" width="4.453125" style="247" bestFit="1" customWidth="1"/>
    <col min="10979" max="10979" width="8.81640625" style="247"/>
    <col min="10980" max="10980" width="9.81640625" style="247" bestFit="1" customWidth="1"/>
    <col min="10981" max="10981" width="8" style="247" bestFit="1" customWidth="1"/>
    <col min="10982" max="10982" width="8.6328125" style="247" customWidth="1"/>
    <col min="10983" max="10983" width="8.81640625" style="247"/>
    <col min="10984" max="10985" width="9.1796875" style="247" customWidth="1"/>
    <col min="10986" max="10986" width="8.81640625" style="247"/>
    <col min="10987" max="10987" width="9.1796875" style="247" customWidth="1"/>
    <col min="10988" max="10988" width="8.81640625" style="247"/>
    <col min="10989" max="10989" width="9.1796875" style="247" customWidth="1"/>
    <col min="10990" max="10990" width="8.81640625" style="247"/>
    <col min="10991" max="10991" width="9.1796875" style="247" customWidth="1"/>
    <col min="10992" max="10992" width="8.81640625" style="247"/>
    <col min="10993" max="10993" width="9.1796875" style="247" customWidth="1"/>
    <col min="10994" max="10994" width="8.81640625" style="247"/>
    <col min="10995" max="10995" width="9.1796875" style="247" customWidth="1"/>
    <col min="10996" max="10996" width="8.81640625" style="247"/>
    <col min="10997" max="10997" width="9.1796875" style="247" customWidth="1"/>
    <col min="10998" max="10998" width="8.81640625" style="247"/>
    <col min="10999" max="10999" width="9.1796875" style="247" customWidth="1"/>
    <col min="11000" max="11000" width="8.81640625" style="247"/>
    <col min="11001" max="11001" width="9.1796875" style="247" customWidth="1"/>
    <col min="11002" max="11002" width="8" style="247" bestFit="1" customWidth="1"/>
    <col min="11003" max="11003" width="8.6328125" style="247" bestFit="1" customWidth="1"/>
    <col min="11004" max="11004" width="5.1796875" style="247" bestFit="1" customWidth="1"/>
    <col min="11005" max="11005" width="5.6328125" style="247" bestFit="1" customWidth="1"/>
    <col min="11006" max="11006" width="6.1796875" style="247" bestFit="1" customWidth="1"/>
    <col min="11007" max="11007" width="4.81640625" style="247" bestFit="1" customWidth="1"/>
    <col min="11008" max="11008" width="9.1796875" style="247" customWidth="1"/>
    <col min="11009" max="11009" width="7" style="247" customWidth="1"/>
    <col min="11010" max="11010" width="8.81640625" style="247"/>
    <col min="11011" max="11011" width="4.453125" style="247" bestFit="1" customWidth="1"/>
    <col min="11012" max="11012" width="4.6328125" style="247" customWidth="1"/>
    <col min="11013" max="11013" width="8.81640625" style="247"/>
    <col min="11014" max="11014" width="5.453125" style="247" bestFit="1" customWidth="1"/>
    <col min="11015" max="11015" width="5.36328125" style="247" bestFit="1" customWidth="1"/>
    <col min="11016" max="11016" width="5" style="247" bestFit="1" customWidth="1"/>
    <col min="11017" max="11017" width="4.6328125" style="247" bestFit="1" customWidth="1"/>
    <col min="11018" max="11018" width="5.1796875" style="247" customWidth="1"/>
    <col min="11019" max="11019" width="8.6328125" style="247" bestFit="1" customWidth="1"/>
    <col min="11020" max="11020" width="9.453125" style="247" bestFit="1" customWidth="1"/>
    <col min="11021" max="11021" width="8.81640625" style="247"/>
    <col min="11022" max="11022" width="9.81640625" style="247" bestFit="1" customWidth="1"/>
    <col min="11023" max="11220" width="8.81640625" style="247"/>
    <col min="11221" max="11221" width="14.1796875" style="247" bestFit="1" customWidth="1"/>
    <col min="11222" max="11222" width="15.453125" style="247" bestFit="1" customWidth="1"/>
    <col min="11223" max="11223" width="12.453125" style="247" bestFit="1" customWidth="1"/>
    <col min="11224" max="11224" width="6" style="247" bestFit="1" customWidth="1"/>
    <col min="11225" max="11225" width="4.81640625" style="247" bestFit="1" customWidth="1"/>
    <col min="11226" max="11226" width="6.453125" style="247" bestFit="1" customWidth="1"/>
    <col min="11227" max="11227" width="5.36328125" style="247" bestFit="1" customWidth="1"/>
    <col min="11228" max="11228" width="5.6328125" style="247" bestFit="1" customWidth="1"/>
    <col min="11229" max="11229" width="8.81640625" style="247"/>
    <col min="11230" max="11230" width="10.1796875" style="247" bestFit="1" customWidth="1"/>
    <col min="11231" max="11231" width="8.81640625" style="247"/>
    <col min="11232" max="11232" width="9.1796875" style="247" customWidth="1"/>
    <col min="11233" max="11233" width="8.81640625" style="247"/>
    <col min="11234" max="11234" width="4.453125" style="247" bestFit="1" customWidth="1"/>
    <col min="11235" max="11235" width="8.81640625" style="247"/>
    <col min="11236" max="11236" width="9.81640625" style="247" bestFit="1" customWidth="1"/>
    <col min="11237" max="11237" width="8" style="247" bestFit="1" customWidth="1"/>
    <col min="11238" max="11238" width="8.6328125" style="247" customWidth="1"/>
    <col min="11239" max="11239" width="8.81640625" style="247"/>
    <col min="11240" max="11241" width="9.1796875" style="247" customWidth="1"/>
    <col min="11242" max="11242" width="8.81640625" style="247"/>
    <col min="11243" max="11243" width="9.1796875" style="247" customWidth="1"/>
    <col min="11244" max="11244" width="8.81640625" style="247"/>
    <col min="11245" max="11245" width="9.1796875" style="247" customWidth="1"/>
    <col min="11246" max="11246" width="8.81640625" style="247"/>
    <col min="11247" max="11247" width="9.1796875" style="247" customWidth="1"/>
    <col min="11248" max="11248" width="8.81640625" style="247"/>
    <col min="11249" max="11249" width="9.1796875" style="247" customWidth="1"/>
    <col min="11250" max="11250" width="8.81640625" style="247"/>
    <col min="11251" max="11251" width="9.1796875" style="247" customWidth="1"/>
    <col min="11252" max="11252" width="8.81640625" style="247"/>
    <col min="11253" max="11253" width="9.1796875" style="247" customWidth="1"/>
    <col min="11254" max="11254" width="8.81640625" style="247"/>
    <col min="11255" max="11255" width="9.1796875" style="247" customWidth="1"/>
    <col min="11256" max="11256" width="8.81640625" style="247"/>
    <col min="11257" max="11257" width="9.1796875" style="247" customWidth="1"/>
    <col min="11258" max="11258" width="8" style="247" bestFit="1" customWidth="1"/>
    <col min="11259" max="11259" width="8.6328125" style="247" bestFit="1" customWidth="1"/>
    <col min="11260" max="11260" width="5.1796875" style="247" bestFit="1" customWidth="1"/>
    <col min="11261" max="11261" width="5.6328125" style="247" bestFit="1" customWidth="1"/>
    <col min="11262" max="11262" width="6.1796875" style="247" bestFit="1" customWidth="1"/>
    <col min="11263" max="11263" width="4.81640625" style="247" bestFit="1" customWidth="1"/>
    <col min="11264" max="11264" width="9.1796875" style="247" customWidth="1"/>
    <col min="11265" max="11265" width="7" style="247" customWidth="1"/>
    <col min="11266" max="11266" width="8.81640625" style="247"/>
    <col min="11267" max="11267" width="4.453125" style="247" bestFit="1" customWidth="1"/>
    <col min="11268" max="11268" width="4.6328125" style="247" customWidth="1"/>
    <col min="11269" max="11269" width="8.81640625" style="247"/>
    <col min="11270" max="11270" width="5.453125" style="247" bestFit="1" customWidth="1"/>
    <col min="11271" max="11271" width="5.36328125" style="247" bestFit="1" customWidth="1"/>
    <col min="11272" max="11272" width="5" style="247" bestFit="1" customWidth="1"/>
    <col min="11273" max="11273" width="4.6328125" style="247" bestFit="1" customWidth="1"/>
    <col min="11274" max="11274" width="5.1796875" style="247" customWidth="1"/>
    <col min="11275" max="11275" width="8.6328125" style="247" bestFit="1" customWidth="1"/>
    <col min="11276" max="11276" width="9.453125" style="247" bestFit="1" customWidth="1"/>
    <col min="11277" max="11277" width="8.81640625" style="247"/>
    <col min="11278" max="11278" width="9.81640625" style="247" bestFit="1" customWidth="1"/>
    <col min="11279" max="11476" width="8.81640625" style="247"/>
    <col min="11477" max="11477" width="14.1796875" style="247" bestFit="1" customWidth="1"/>
    <col min="11478" max="11478" width="15.453125" style="247" bestFit="1" customWidth="1"/>
    <col min="11479" max="11479" width="12.453125" style="247" bestFit="1" customWidth="1"/>
    <col min="11480" max="11480" width="6" style="247" bestFit="1" customWidth="1"/>
    <col min="11481" max="11481" width="4.81640625" style="247" bestFit="1" customWidth="1"/>
    <col min="11482" max="11482" width="6.453125" style="247" bestFit="1" customWidth="1"/>
    <col min="11483" max="11483" width="5.36328125" style="247" bestFit="1" customWidth="1"/>
    <col min="11484" max="11484" width="5.6328125" style="247" bestFit="1" customWidth="1"/>
    <col min="11485" max="11485" width="8.81640625" style="247"/>
    <col min="11486" max="11486" width="10.1796875" style="247" bestFit="1" customWidth="1"/>
    <col min="11487" max="11487" width="8.81640625" style="247"/>
    <col min="11488" max="11488" width="9.1796875" style="247" customWidth="1"/>
    <col min="11489" max="11489" width="8.81640625" style="247"/>
    <col min="11490" max="11490" width="4.453125" style="247" bestFit="1" customWidth="1"/>
    <col min="11491" max="11491" width="8.81640625" style="247"/>
    <col min="11492" max="11492" width="9.81640625" style="247" bestFit="1" customWidth="1"/>
    <col min="11493" max="11493" width="8" style="247" bestFit="1" customWidth="1"/>
    <col min="11494" max="11494" width="8.6328125" style="247" customWidth="1"/>
    <col min="11495" max="11495" width="8.81640625" style="247"/>
    <col min="11496" max="11497" width="9.1796875" style="247" customWidth="1"/>
    <col min="11498" max="11498" width="8.81640625" style="247"/>
    <col min="11499" max="11499" width="9.1796875" style="247" customWidth="1"/>
    <col min="11500" max="11500" width="8.81640625" style="247"/>
    <col min="11501" max="11501" width="9.1796875" style="247" customWidth="1"/>
    <col min="11502" max="11502" width="8.81640625" style="247"/>
    <col min="11503" max="11503" width="9.1796875" style="247" customWidth="1"/>
    <col min="11504" max="11504" width="8.81640625" style="247"/>
    <col min="11505" max="11505" width="9.1796875" style="247" customWidth="1"/>
    <col min="11506" max="11506" width="8.81640625" style="247"/>
    <col min="11507" max="11507" width="9.1796875" style="247" customWidth="1"/>
    <col min="11508" max="11508" width="8.81640625" style="247"/>
    <col min="11509" max="11509" width="9.1796875" style="247" customWidth="1"/>
    <col min="11510" max="11510" width="8.81640625" style="247"/>
    <col min="11511" max="11511" width="9.1796875" style="247" customWidth="1"/>
    <col min="11512" max="11512" width="8.81640625" style="247"/>
    <col min="11513" max="11513" width="9.1796875" style="247" customWidth="1"/>
    <col min="11514" max="11514" width="8" style="247" bestFit="1" customWidth="1"/>
    <col min="11515" max="11515" width="8.6328125" style="247" bestFit="1" customWidth="1"/>
    <col min="11516" max="11516" width="5.1796875" style="247" bestFit="1" customWidth="1"/>
    <col min="11517" max="11517" width="5.6328125" style="247" bestFit="1" customWidth="1"/>
    <col min="11518" max="11518" width="6.1796875" style="247" bestFit="1" customWidth="1"/>
    <col min="11519" max="11519" width="4.81640625" style="247" bestFit="1" customWidth="1"/>
    <col min="11520" max="11520" width="9.1796875" style="247" customWidth="1"/>
    <col min="11521" max="11521" width="7" style="247" customWidth="1"/>
    <col min="11522" max="11522" width="8.81640625" style="247"/>
    <col min="11523" max="11523" width="4.453125" style="247" bestFit="1" customWidth="1"/>
    <col min="11524" max="11524" width="4.6328125" style="247" customWidth="1"/>
    <col min="11525" max="11525" width="8.81640625" style="247"/>
    <col min="11526" max="11526" width="5.453125" style="247" bestFit="1" customWidth="1"/>
    <col min="11527" max="11527" width="5.36328125" style="247" bestFit="1" customWidth="1"/>
    <col min="11528" max="11528" width="5" style="247" bestFit="1" customWidth="1"/>
    <col min="11529" max="11529" width="4.6328125" style="247" bestFit="1" customWidth="1"/>
    <col min="11530" max="11530" width="5.1796875" style="247" customWidth="1"/>
    <col min="11531" max="11531" width="8.6328125" style="247" bestFit="1" customWidth="1"/>
    <col min="11532" max="11532" width="9.453125" style="247" bestFit="1" customWidth="1"/>
    <col min="11533" max="11533" width="8.81640625" style="247"/>
    <col min="11534" max="11534" width="9.81640625" style="247" bestFit="1" customWidth="1"/>
    <col min="11535" max="11732" width="8.81640625" style="247"/>
    <col min="11733" max="11733" width="14.1796875" style="247" bestFit="1" customWidth="1"/>
    <col min="11734" max="11734" width="15.453125" style="247" bestFit="1" customWidth="1"/>
    <col min="11735" max="11735" width="12.453125" style="247" bestFit="1" customWidth="1"/>
    <col min="11736" max="11736" width="6" style="247" bestFit="1" customWidth="1"/>
    <col min="11737" max="11737" width="4.81640625" style="247" bestFit="1" customWidth="1"/>
    <col min="11738" max="11738" width="6.453125" style="247" bestFit="1" customWidth="1"/>
    <col min="11739" max="11739" width="5.36328125" style="247" bestFit="1" customWidth="1"/>
    <col min="11740" max="11740" width="5.6328125" style="247" bestFit="1" customWidth="1"/>
    <col min="11741" max="11741" width="8.81640625" style="247"/>
    <col min="11742" max="11742" width="10.1796875" style="247" bestFit="1" customWidth="1"/>
    <col min="11743" max="11743" width="8.81640625" style="247"/>
    <col min="11744" max="11744" width="9.1796875" style="247" customWidth="1"/>
    <col min="11745" max="11745" width="8.81640625" style="247"/>
    <col min="11746" max="11746" width="4.453125" style="247" bestFit="1" customWidth="1"/>
    <col min="11747" max="11747" width="8.81640625" style="247"/>
    <col min="11748" max="11748" width="9.81640625" style="247" bestFit="1" customWidth="1"/>
    <col min="11749" max="11749" width="8" style="247" bestFit="1" customWidth="1"/>
    <col min="11750" max="11750" width="8.6328125" style="247" customWidth="1"/>
    <col min="11751" max="11751" width="8.81640625" style="247"/>
    <col min="11752" max="11753" width="9.1796875" style="247" customWidth="1"/>
    <col min="11754" max="11754" width="8.81640625" style="247"/>
    <col min="11755" max="11755" width="9.1796875" style="247" customWidth="1"/>
    <col min="11756" max="11756" width="8.81640625" style="247"/>
    <col min="11757" max="11757" width="9.1796875" style="247" customWidth="1"/>
    <col min="11758" max="11758" width="8.81640625" style="247"/>
    <col min="11759" max="11759" width="9.1796875" style="247" customWidth="1"/>
    <col min="11760" max="11760" width="8.81640625" style="247"/>
    <col min="11761" max="11761" width="9.1796875" style="247" customWidth="1"/>
    <col min="11762" max="11762" width="8.81640625" style="247"/>
    <col min="11763" max="11763" width="9.1796875" style="247" customWidth="1"/>
    <col min="11764" max="11764" width="8.81640625" style="247"/>
    <col min="11765" max="11765" width="9.1796875" style="247" customWidth="1"/>
    <col min="11766" max="11766" width="8.81640625" style="247"/>
    <col min="11767" max="11767" width="9.1796875" style="247" customWidth="1"/>
    <col min="11768" max="11768" width="8.81640625" style="247"/>
    <col min="11769" max="11769" width="9.1796875" style="247" customWidth="1"/>
    <col min="11770" max="11770" width="8" style="247" bestFit="1" customWidth="1"/>
    <col min="11771" max="11771" width="8.6328125" style="247" bestFit="1" customWidth="1"/>
    <col min="11772" max="11772" width="5.1796875" style="247" bestFit="1" customWidth="1"/>
    <col min="11773" max="11773" width="5.6328125" style="247" bestFit="1" customWidth="1"/>
    <col min="11774" max="11774" width="6.1796875" style="247" bestFit="1" customWidth="1"/>
    <col min="11775" max="11775" width="4.81640625" style="247" bestFit="1" customWidth="1"/>
    <col min="11776" max="11776" width="9.1796875" style="247" customWidth="1"/>
    <col min="11777" max="11777" width="7" style="247" customWidth="1"/>
    <col min="11778" max="11778" width="8.81640625" style="247"/>
    <col min="11779" max="11779" width="4.453125" style="247" bestFit="1" customWidth="1"/>
    <col min="11780" max="11780" width="4.6328125" style="247" customWidth="1"/>
    <col min="11781" max="11781" width="8.81640625" style="247"/>
    <col min="11782" max="11782" width="5.453125" style="247" bestFit="1" customWidth="1"/>
    <col min="11783" max="11783" width="5.36328125" style="247" bestFit="1" customWidth="1"/>
    <col min="11784" max="11784" width="5" style="247" bestFit="1" customWidth="1"/>
    <col min="11785" max="11785" width="4.6328125" style="247" bestFit="1" customWidth="1"/>
    <col min="11786" max="11786" width="5.1796875" style="247" customWidth="1"/>
    <col min="11787" max="11787" width="8.6328125" style="247" bestFit="1" customWidth="1"/>
    <col min="11788" max="11788" width="9.453125" style="247" bestFit="1" customWidth="1"/>
    <col min="11789" max="11789" width="8.81640625" style="247"/>
    <col min="11790" max="11790" width="9.81640625" style="247" bestFit="1" customWidth="1"/>
    <col min="11791" max="11988" width="8.81640625" style="247"/>
    <col min="11989" max="11989" width="14.1796875" style="247" bestFit="1" customWidth="1"/>
    <col min="11990" max="11990" width="15.453125" style="247" bestFit="1" customWidth="1"/>
    <col min="11991" max="11991" width="12.453125" style="247" bestFit="1" customWidth="1"/>
    <col min="11992" max="11992" width="6" style="247" bestFit="1" customWidth="1"/>
    <col min="11993" max="11993" width="4.81640625" style="247" bestFit="1" customWidth="1"/>
    <col min="11994" max="11994" width="6.453125" style="247" bestFit="1" customWidth="1"/>
    <col min="11995" max="11995" width="5.36328125" style="247" bestFit="1" customWidth="1"/>
    <col min="11996" max="11996" width="5.6328125" style="247" bestFit="1" customWidth="1"/>
    <col min="11997" max="11997" width="8.81640625" style="247"/>
    <col min="11998" max="11998" width="10.1796875" style="247" bestFit="1" customWidth="1"/>
    <col min="11999" max="11999" width="8.81640625" style="247"/>
    <col min="12000" max="12000" width="9.1796875" style="247" customWidth="1"/>
    <col min="12001" max="12001" width="8.81640625" style="247"/>
    <col min="12002" max="12002" width="4.453125" style="247" bestFit="1" customWidth="1"/>
    <col min="12003" max="12003" width="8.81640625" style="247"/>
    <col min="12004" max="12004" width="9.81640625" style="247" bestFit="1" customWidth="1"/>
    <col min="12005" max="12005" width="8" style="247" bestFit="1" customWidth="1"/>
    <col min="12006" max="12006" width="8.6328125" style="247" customWidth="1"/>
    <col min="12007" max="12007" width="8.81640625" style="247"/>
    <col min="12008" max="12009" width="9.1796875" style="247" customWidth="1"/>
    <col min="12010" max="12010" width="8.81640625" style="247"/>
    <col min="12011" max="12011" width="9.1796875" style="247" customWidth="1"/>
    <col min="12012" max="12012" width="8.81640625" style="247"/>
    <col min="12013" max="12013" width="9.1796875" style="247" customWidth="1"/>
    <col min="12014" max="12014" width="8.81640625" style="247"/>
    <col min="12015" max="12015" width="9.1796875" style="247" customWidth="1"/>
    <col min="12016" max="12016" width="8.81640625" style="247"/>
    <col min="12017" max="12017" width="9.1796875" style="247" customWidth="1"/>
    <col min="12018" max="12018" width="8.81640625" style="247"/>
    <col min="12019" max="12019" width="9.1796875" style="247" customWidth="1"/>
    <col min="12020" max="12020" width="8.81640625" style="247"/>
    <col min="12021" max="12021" width="9.1796875" style="247" customWidth="1"/>
    <col min="12022" max="12022" width="8.81640625" style="247"/>
    <col min="12023" max="12023" width="9.1796875" style="247" customWidth="1"/>
    <col min="12024" max="12024" width="8.81640625" style="247"/>
    <col min="12025" max="12025" width="9.1796875" style="247" customWidth="1"/>
    <col min="12026" max="12026" width="8" style="247" bestFit="1" customWidth="1"/>
    <col min="12027" max="12027" width="8.6328125" style="247" bestFit="1" customWidth="1"/>
    <col min="12028" max="12028" width="5.1796875" style="247" bestFit="1" customWidth="1"/>
    <col min="12029" max="12029" width="5.6328125" style="247" bestFit="1" customWidth="1"/>
    <col min="12030" max="12030" width="6.1796875" style="247" bestFit="1" customWidth="1"/>
    <col min="12031" max="12031" width="4.81640625" style="247" bestFit="1" customWidth="1"/>
    <col min="12032" max="12032" width="9.1796875" style="247" customWidth="1"/>
    <col min="12033" max="12033" width="7" style="247" customWidth="1"/>
    <col min="12034" max="12034" width="8.81640625" style="247"/>
    <col min="12035" max="12035" width="4.453125" style="247" bestFit="1" customWidth="1"/>
    <col min="12036" max="12036" width="4.6328125" style="247" customWidth="1"/>
    <col min="12037" max="12037" width="8.81640625" style="247"/>
    <col min="12038" max="12038" width="5.453125" style="247" bestFit="1" customWidth="1"/>
    <col min="12039" max="12039" width="5.36328125" style="247" bestFit="1" customWidth="1"/>
    <col min="12040" max="12040" width="5" style="247" bestFit="1" customWidth="1"/>
    <col min="12041" max="12041" width="4.6328125" style="247" bestFit="1" customWidth="1"/>
    <col min="12042" max="12042" width="5.1796875" style="247" customWidth="1"/>
    <col min="12043" max="12043" width="8.6328125" style="247" bestFit="1" customWidth="1"/>
    <col min="12044" max="12044" width="9.453125" style="247" bestFit="1" customWidth="1"/>
    <col min="12045" max="12045" width="8.81640625" style="247"/>
    <col min="12046" max="12046" width="9.81640625" style="247" bestFit="1" customWidth="1"/>
    <col min="12047" max="12244" width="8.81640625" style="247"/>
    <col min="12245" max="12245" width="14.1796875" style="247" bestFit="1" customWidth="1"/>
    <col min="12246" max="12246" width="15.453125" style="247" bestFit="1" customWidth="1"/>
    <col min="12247" max="12247" width="12.453125" style="247" bestFit="1" customWidth="1"/>
    <col min="12248" max="12248" width="6" style="247" bestFit="1" customWidth="1"/>
    <col min="12249" max="12249" width="4.81640625" style="247" bestFit="1" customWidth="1"/>
    <col min="12250" max="12250" width="6.453125" style="247" bestFit="1" customWidth="1"/>
    <col min="12251" max="12251" width="5.36328125" style="247" bestFit="1" customWidth="1"/>
    <col min="12252" max="12252" width="5.6328125" style="247" bestFit="1" customWidth="1"/>
    <col min="12253" max="12253" width="8.81640625" style="247"/>
    <col min="12254" max="12254" width="10.1796875" style="247" bestFit="1" customWidth="1"/>
    <col min="12255" max="12255" width="8.81640625" style="247"/>
    <col min="12256" max="12256" width="9.1796875" style="247" customWidth="1"/>
    <col min="12257" max="12257" width="8.81640625" style="247"/>
    <col min="12258" max="12258" width="4.453125" style="247" bestFit="1" customWidth="1"/>
    <col min="12259" max="12259" width="8.81640625" style="247"/>
    <col min="12260" max="12260" width="9.81640625" style="247" bestFit="1" customWidth="1"/>
    <col min="12261" max="12261" width="8" style="247" bestFit="1" customWidth="1"/>
    <col min="12262" max="12262" width="8.6328125" style="247" customWidth="1"/>
    <col min="12263" max="12263" width="8.81640625" style="247"/>
    <col min="12264" max="12265" width="9.1796875" style="247" customWidth="1"/>
    <col min="12266" max="12266" width="8.81640625" style="247"/>
    <col min="12267" max="12267" width="9.1796875" style="247" customWidth="1"/>
    <col min="12268" max="12268" width="8.81640625" style="247"/>
    <col min="12269" max="12269" width="9.1796875" style="247" customWidth="1"/>
    <col min="12270" max="12270" width="8.81640625" style="247"/>
    <col min="12271" max="12271" width="9.1796875" style="247" customWidth="1"/>
    <col min="12272" max="12272" width="8.81640625" style="247"/>
    <col min="12273" max="12273" width="9.1796875" style="247" customWidth="1"/>
    <col min="12274" max="12274" width="8.81640625" style="247"/>
    <col min="12275" max="12275" width="9.1796875" style="247" customWidth="1"/>
    <col min="12276" max="12276" width="8.81640625" style="247"/>
    <col min="12277" max="12277" width="9.1796875" style="247" customWidth="1"/>
    <col min="12278" max="12278" width="8.81640625" style="247"/>
    <col min="12279" max="12279" width="9.1796875" style="247" customWidth="1"/>
    <col min="12280" max="12280" width="8.81640625" style="247"/>
    <col min="12281" max="12281" width="9.1796875" style="247" customWidth="1"/>
    <col min="12282" max="12282" width="8" style="247" bestFit="1" customWidth="1"/>
    <col min="12283" max="12283" width="8.6328125" style="247" bestFit="1" customWidth="1"/>
    <col min="12284" max="12284" width="5.1796875" style="247" bestFit="1" customWidth="1"/>
    <col min="12285" max="12285" width="5.6328125" style="247" bestFit="1" customWidth="1"/>
    <col min="12286" max="12286" width="6.1796875" style="247" bestFit="1" customWidth="1"/>
    <col min="12287" max="12287" width="4.81640625" style="247" bestFit="1" customWidth="1"/>
    <col min="12288" max="12288" width="9.1796875" style="247" customWidth="1"/>
    <col min="12289" max="12289" width="7" style="247" customWidth="1"/>
    <col min="12290" max="12290" width="8.81640625" style="247"/>
    <col min="12291" max="12291" width="4.453125" style="247" bestFit="1" customWidth="1"/>
    <col min="12292" max="12292" width="4.6328125" style="247" customWidth="1"/>
    <col min="12293" max="12293" width="8.81640625" style="247"/>
    <col min="12294" max="12294" width="5.453125" style="247" bestFit="1" customWidth="1"/>
    <col min="12295" max="12295" width="5.36328125" style="247" bestFit="1" customWidth="1"/>
    <col min="12296" max="12296" width="5" style="247" bestFit="1" customWidth="1"/>
    <col min="12297" max="12297" width="4.6328125" style="247" bestFit="1" customWidth="1"/>
    <col min="12298" max="12298" width="5.1796875" style="247" customWidth="1"/>
    <col min="12299" max="12299" width="8.6328125" style="247" bestFit="1" customWidth="1"/>
    <col min="12300" max="12300" width="9.453125" style="247" bestFit="1" customWidth="1"/>
    <col min="12301" max="12301" width="8.81640625" style="247"/>
    <col min="12302" max="12302" width="9.81640625" style="247" bestFit="1" customWidth="1"/>
    <col min="12303" max="12500" width="8.81640625" style="247"/>
    <col min="12501" max="12501" width="14.1796875" style="247" bestFit="1" customWidth="1"/>
    <col min="12502" max="12502" width="15.453125" style="247" bestFit="1" customWidth="1"/>
    <col min="12503" max="12503" width="12.453125" style="247" bestFit="1" customWidth="1"/>
    <col min="12504" max="12504" width="6" style="247" bestFit="1" customWidth="1"/>
    <col min="12505" max="12505" width="4.81640625" style="247" bestFit="1" customWidth="1"/>
    <col min="12506" max="12506" width="6.453125" style="247" bestFit="1" customWidth="1"/>
    <col min="12507" max="12507" width="5.36328125" style="247" bestFit="1" customWidth="1"/>
    <col min="12508" max="12508" width="5.6328125" style="247" bestFit="1" customWidth="1"/>
    <col min="12509" max="12509" width="8.81640625" style="247"/>
    <col min="12510" max="12510" width="10.1796875" style="247" bestFit="1" customWidth="1"/>
    <col min="12511" max="12511" width="8.81640625" style="247"/>
    <col min="12512" max="12512" width="9.1796875" style="247" customWidth="1"/>
    <col min="12513" max="12513" width="8.81640625" style="247"/>
    <col min="12514" max="12514" width="4.453125" style="247" bestFit="1" customWidth="1"/>
    <col min="12515" max="12515" width="8.81640625" style="247"/>
    <col min="12516" max="12516" width="9.81640625" style="247" bestFit="1" customWidth="1"/>
    <col min="12517" max="12517" width="8" style="247" bestFit="1" customWidth="1"/>
    <col min="12518" max="12518" width="8.6328125" style="247" customWidth="1"/>
    <col min="12519" max="12519" width="8.81640625" style="247"/>
    <col min="12520" max="12521" width="9.1796875" style="247" customWidth="1"/>
    <col min="12522" max="12522" width="8.81640625" style="247"/>
    <col min="12523" max="12523" width="9.1796875" style="247" customWidth="1"/>
    <col min="12524" max="12524" width="8.81640625" style="247"/>
    <col min="12525" max="12525" width="9.1796875" style="247" customWidth="1"/>
    <col min="12526" max="12526" width="8.81640625" style="247"/>
    <col min="12527" max="12527" width="9.1796875" style="247" customWidth="1"/>
    <col min="12528" max="12528" width="8.81640625" style="247"/>
    <col min="12529" max="12529" width="9.1796875" style="247" customWidth="1"/>
    <col min="12530" max="12530" width="8.81640625" style="247"/>
    <col min="12531" max="12531" width="9.1796875" style="247" customWidth="1"/>
    <col min="12532" max="12532" width="8.81640625" style="247"/>
    <col min="12533" max="12533" width="9.1796875" style="247" customWidth="1"/>
    <col min="12534" max="12534" width="8.81640625" style="247"/>
    <col min="12535" max="12535" width="9.1796875" style="247" customWidth="1"/>
    <col min="12536" max="12536" width="8.81640625" style="247"/>
    <col min="12537" max="12537" width="9.1796875" style="247" customWidth="1"/>
    <col min="12538" max="12538" width="8" style="247" bestFit="1" customWidth="1"/>
    <col min="12539" max="12539" width="8.6328125" style="247" bestFit="1" customWidth="1"/>
    <col min="12540" max="12540" width="5.1796875" style="247" bestFit="1" customWidth="1"/>
    <col min="12541" max="12541" width="5.6328125" style="247" bestFit="1" customWidth="1"/>
    <col min="12542" max="12542" width="6.1796875" style="247" bestFit="1" customWidth="1"/>
    <col min="12543" max="12543" width="4.81640625" style="247" bestFit="1" customWidth="1"/>
    <col min="12544" max="12544" width="9.1796875" style="247" customWidth="1"/>
    <col min="12545" max="12545" width="7" style="247" customWidth="1"/>
    <col min="12546" max="12546" width="8.81640625" style="247"/>
    <col min="12547" max="12547" width="4.453125" style="247" bestFit="1" customWidth="1"/>
    <col min="12548" max="12548" width="4.6328125" style="247" customWidth="1"/>
    <col min="12549" max="12549" width="8.81640625" style="247"/>
    <col min="12550" max="12550" width="5.453125" style="247" bestFit="1" customWidth="1"/>
    <col min="12551" max="12551" width="5.36328125" style="247" bestFit="1" customWidth="1"/>
    <col min="12552" max="12552" width="5" style="247" bestFit="1" customWidth="1"/>
    <col min="12553" max="12553" width="4.6328125" style="247" bestFit="1" customWidth="1"/>
    <col min="12554" max="12554" width="5.1796875" style="247" customWidth="1"/>
    <col min="12555" max="12555" width="8.6328125" style="247" bestFit="1" customWidth="1"/>
    <col min="12556" max="12556" width="9.453125" style="247" bestFit="1" customWidth="1"/>
    <col min="12557" max="12557" width="8.81640625" style="247"/>
    <col min="12558" max="12558" width="9.81640625" style="247" bestFit="1" customWidth="1"/>
    <col min="12559" max="12756" width="8.81640625" style="247"/>
    <col min="12757" max="12757" width="14.1796875" style="247" bestFit="1" customWidth="1"/>
    <col min="12758" max="12758" width="15.453125" style="247" bestFit="1" customWidth="1"/>
    <col min="12759" max="12759" width="12.453125" style="247" bestFit="1" customWidth="1"/>
    <col min="12760" max="12760" width="6" style="247" bestFit="1" customWidth="1"/>
    <col min="12761" max="12761" width="4.81640625" style="247" bestFit="1" customWidth="1"/>
    <col min="12762" max="12762" width="6.453125" style="247" bestFit="1" customWidth="1"/>
    <col min="12763" max="12763" width="5.36328125" style="247" bestFit="1" customWidth="1"/>
    <col min="12764" max="12764" width="5.6328125" style="247" bestFit="1" customWidth="1"/>
    <col min="12765" max="12765" width="8.81640625" style="247"/>
    <col min="12766" max="12766" width="10.1796875" style="247" bestFit="1" customWidth="1"/>
    <col min="12767" max="12767" width="8.81640625" style="247"/>
    <col min="12768" max="12768" width="9.1796875" style="247" customWidth="1"/>
    <col min="12769" max="12769" width="8.81640625" style="247"/>
    <col min="12770" max="12770" width="4.453125" style="247" bestFit="1" customWidth="1"/>
    <col min="12771" max="12771" width="8.81640625" style="247"/>
    <col min="12772" max="12772" width="9.81640625" style="247" bestFit="1" customWidth="1"/>
    <col min="12773" max="12773" width="8" style="247" bestFit="1" customWidth="1"/>
    <col min="12774" max="12774" width="8.6328125" style="247" customWidth="1"/>
    <col min="12775" max="12775" width="8.81640625" style="247"/>
    <col min="12776" max="12777" width="9.1796875" style="247" customWidth="1"/>
    <col min="12778" max="12778" width="8.81640625" style="247"/>
    <col min="12779" max="12779" width="9.1796875" style="247" customWidth="1"/>
    <col min="12780" max="12780" width="8.81640625" style="247"/>
    <col min="12781" max="12781" width="9.1796875" style="247" customWidth="1"/>
    <col min="12782" max="12782" width="8.81640625" style="247"/>
    <col min="12783" max="12783" width="9.1796875" style="247" customWidth="1"/>
    <col min="12784" max="12784" width="8.81640625" style="247"/>
    <col min="12785" max="12785" width="9.1796875" style="247" customWidth="1"/>
    <col min="12786" max="12786" width="8.81640625" style="247"/>
    <col min="12787" max="12787" width="9.1796875" style="247" customWidth="1"/>
    <col min="12788" max="12788" width="8.81640625" style="247"/>
    <col min="12789" max="12789" width="9.1796875" style="247" customWidth="1"/>
    <col min="12790" max="12790" width="8.81640625" style="247"/>
    <col min="12791" max="12791" width="9.1796875" style="247" customWidth="1"/>
    <col min="12792" max="12792" width="8.81640625" style="247"/>
    <col min="12793" max="12793" width="9.1796875" style="247" customWidth="1"/>
    <col min="12794" max="12794" width="8" style="247" bestFit="1" customWidth="1"/>
    <col min="12795" max="12795" width="8.6328125" style="247" bestFit="1" customWidth="1"/>
    <col min="12796" max="12796" width="5.1796875" style="247" bestFit="1" customWidth="1"/>
    <col min="12797" max="12797" width="5.6328125" style="247" bestFit="1" customWidth="1"/>
    <col min="12798" max="12798" width="6.1796875" style="247" bestFit="1" customWidth="1"/>
    <col min="12799" max="12799" width="4.81640625" style="247" bestFit="1" customWidth="1"/>
    <col min="12800" max="12800" width="9.1796875" style="247" customWidth="1"/>
    <col min="12801" max="12801" width="7" style="247" customWidth="1"/>
    <col min="12802" max="12802" width="8.81640625" style="247"/>
    <col min="12803" max="12803" width="4.453125" style="247" bestFit="1" customWidth="1"/>
    <col min="12804" max="12804" width="4.6328125" style="247" customWidth="1"/>
    <col min="12805" max="12805" width="8.81640625" style="247"/>
    <col min="12806" max="12806" width="5.453125" style="247" bestFit="1" customWidth="1"/>
    <col min="12807" max="12807" width="5.36328125" style="247" bestFit="1" customWidth="1"/>
    <col min="12808" max="12808" width="5" style="247" bestFit="1" customWidth="1"/>
    <col min="12809" max="12809" width="4.6328125" style="247" bestFit="1" customWidth="1"/>
    <col min="12810" max="12810" width="5.1796875" style="247" customWidth="1"/>
    <col min="12811" max="12811" width="8.6328125" style="247" bestFit="1" customWidth="1"/>
    <col min="12812" max="12812" width="9.453125" style="247" bestFit="1" customWidth="1"/>
    <col min="12813" max="12813" width="8.81640625" style="247"/>
    <col min="12814" max="12814" width="9.81640625" style="247" bestFit="1" customWidth="1"/>
    <col min="12815" max="13012" width="8.81640625" style="247"/>
    <col min="13013" max="13013" width="14.1796875" style="247" bestFit="1" customWidth="1"/>
    <col min="13014" max="13014" width="15.453125" style="247" bestFit="1" customWidth="1"/>
    <col min="13015" max="13015" width="12.453125" style="247" bestFit="1" customWidth="1"/>
    <col min="13016" max="13016" width="6" style="247" bestFit="1" customWidth="1"/>
    <col min="13017" max="13017" width="4.81640625" style="247" bestFit="1" customWidth="1"/>
    <col min="13018" max="13018" width="6.453125" style="247" bestFit="1" customWidth="1"/>
    <col min="13019" max="13019" width="5.36328125" style="247" bestFit="1" customWidth="1"/>
    <col min="13020" max="13020" width="5.6328125" style="247" bestFit="1" customWidth="1"/>
    <col min="13021" max="13021" width="8.81640625" style="247"/>
    <col min="13022" max="13022" width="10.1796875" style="247" bestFit="1" customWidth="1"/>
    <col min="13023" max="13023" width="8.81640625" style="247"/>
    <col min="13024" max="13024" width="9.1796875" style="247" customWidth="1"/>
    <col min="13025" max="13025" width="8.81640625" style="247"/>
    <col min="13026" max="13026" width="4.453125" style="247" bestFit="1" customWidth="1"/>
    <col min="13027" max="13027" width="8.81640625" style="247"/>
    <col min="13028" max="13028" width="9.81640625" style="247" bestFit="1" customWidth="1"/>
    <col min="13029" max="13029" width="8" style="247" bestFit="1" customWidth="1"/>
    <col min="13030" max="13030" width="8.6328125" style="247" customWidth="1"/>
    <col min="13031" max="13031" width="8.81640625" style="247"/>
    <col min="13032" max="13033" width="9.1796875" style="247" customWidth="1"/>
    <col min="13034" max="13034" width="8.81640625" style="247"/>
    <col min="13035" max="13035" width="9.1796875" style="247" customWidth="1"/>
    <col min="13036" max="13036" width="8.81640625" style="247"/>
    <col min="13037" max="13037" width="9.1796875" style="247" customWidth="1"/>
    <col min="13038" max="13038" width="8.81640625" style="247"/>
    <col min="13039" max="13039" width="9.1796875" style="247" customWidth="1"/>
    <col min="13040" max="13040" width="8.81640625" style="247"/>
    <col min="13041" max="13041" width="9.1796875" style="247" customWidth="1"/>
    <col min="13042" max="13042" width="8.81640625" style="247"/>
    <col min="13043" max="13043" width="9.1796875" style="247" customWidth="1"/>
    <col min="13044" max="13044" width="8.81640625" style="247"/>
    <col min="13045" max="13045" width="9.1796875" style="247" customWidth="1"/>
    <col min="13046" max="13046" width="8.81640625" style="247"/>
    <col min="13047" max="13047" width="9.1796875" style="247" customWidth="1"/>
    <col min="13048" max="13048" width="8.81640625" style="247"/>
    <col min="13049" max="13049" width="9.1796875" style="247" customWidth="1"/>
    <col min="13050" max="13050" width="8" style="247" bestFit="1" customWidth="1"/>
    <col min="13051" max="13051" width="8.6328125" style="247" bestFit="1" customWidth="1"/>
    <col min="13052" max="13052" width="5.1796875" style="247" bestFit="1" customWidth="1"/>
    <col min="13053" max="13053" width="5.6328125" style="247" bestFit="1" customWidth="1"/>
    <col min="13054" max="13054" width="6.1796875" style="247" bestFit="1" customWidth="1"/>
    <col min="13055" max="13055" width="4.81640625" style="247" bestFit="1" customWidth="1"/>
    <col min="13056" max="13056" width="9.1796875" style="247" customWidth="1"/>
    <col min="13057" max="13057" width="7" style="247" customWidth="1"/>
    <col min="13058" max="13058" width="8.81640625" style="247"/>
    <col min="13059" max="13059" width="4.453125" style="247" bestFit="1" customWidth="1"/>
    <col min="13060" max="13060" width="4.6328125" style="247" customWidth="1"/>
    <col min="13061" max="13061" width="8.81640625" style="247"/>
    <col min="13062" max="13062" width="5.453125" style="247" bestFit="1" customWidth="1"/>
    <col min="13063" max="13063" width="5.36328125" style="247" bestFit="1" customWidth="1"/>
    <col min="13064" max="13064" width="5" style="247" bestFit="1" customWidth="1"/>
    <col min="13065" max="13065" width="4.6328125" style="247" bestFit="1" customWidth="1"/>
    <col min="13066" max="13066" width="5.1796875" style="247" customWidth="1"/>
    <col min="13067" max="13067" width="8.6328125" style="247" bestFit="1" customWidth="1"/>
    <col min="13068" max="13068" width="9.453125" style="247" bestFit="1" customWidth="1"/>
    <col min="13069" max="13069" width="8.81640625" style="247"/>
    <col min="13070" max="13070" width="9.81640625" style="247" bestFit="1" customWidth="1"/>
    <col min="13071" max="13268" width="8.81640625" style="247"/>
    <col min="13269" max="13269" width="14.1796875" style="247" bestFit="1" customWidth="1"/>
    <col min="13270" max="13270" width="15.453125" style="247" bestFit="1" customWidth="1"/>
    <col min="13271" max="13271" width="12.453125" style="247" bestFit="1" customWidth="1"/>
    <col min="13272" max="13272" width="6" style="247" bestFit="1" customWidth="1"/>
    <col min="13273" max="13273" width="4.81640625" style="247" bestFit="1" customWidth="1"/>
    <col min="13274" max="13274" width="6.453125" style="247" bestFit="1" customWidth="1"/>
    <col min="13275" max="13275" width="5.36328125" style="247" bestFit="1" customWidth="1"/>
    <col min="13276" max="13276" width="5.6328125" style="247" bestFit="1" customWidth="1"/>
    <col min="13277" max="13277" width="8.81640625" style="247"/>
    <col min="13278" max="13278" width="10.1796875" style="247" bestFit="1" customWidth="1"/>
    <col min="13279" max="13279" width="8.81640625" style="247"/>
    <col min="13280" max="13280" width="9.1796875" style="247" customWidth="1"/>
    <col min="13281" max="13281" width="8.81640625" style="247"/>
    <col min="13282" max="13282" width="4.453125" style="247" bestFit="1" customWidth="1"/>
    <col min="13283" max="13283" width="8.81640625" style="247"/>
    <col min="13284" max="13284" width="9.81640625" style="247" bestFit="1" customWidth="1"/>
    <col min="13285" max="13285" width="8" style="247" bestFit="1" customWidth="1"/>
    <col min="13286" max="13286" width="8.6328125" style="247" customWidth="1"/>
    <col min="13287" max="13287" width="8.81640625" style="247"/>
    <col min="13288" max="13289" width="9.1796875" style="247" customWidth="1"/>
    <col min="13290" max="13290" width="8.81640625" style="247"/>
    <col min="13291" max="13291" width="9.1796875" style="247" customWidth="1"/>
    <col min="13292" max="13292" width="8.81640625" style="247"/>
    <col min="13293" max="13293" width="9.1796875" style="247" customWidth="1"/>
    <col min="13294" max="13294" width="8.81640625" style="247"/>
    <col min="13295" max="13295" width="9.1796875" style="247" customWidth="1"/>
    <col min="13296" max="13296" width="8.81640625" style="247"/>
    <col min="13297" max="13297" width="9.1796875" style="247" customWidth="1"/>
    <col min="13298" max="13298" width="8.81640625" style="247"/>
    <col min="13299" max="13299" width="9.1796875" style="247" customWidth="1"/>
    <col min="13300" max="13300" width="8.81640625" style="247"/>
    <col min="13301" max="13301" width="9.1796875" style="247" customWidth="1"/>
    <col min="13302" max="13302" width="8.81640625" style="247"/>
    <col min="13303" max="13303" width="9.1796875" style="247" customWidth="1"/>
    <col min="13304" max="13304" width="8.81640625" style="247"/>
    <col min="13305" max="13305" width="9.1796875" style="247" customWidth="1"/>
    <col min="13306" max="13306" width="8" style="247" bestFit="1" customWidth="1"/>
    <col min="13307" max="13307" width="8.6328125" style="247" bestFit="1" customWidth="1"/>
    <col min="13308" max="13308" width="5.1796875" style="247" bestFit="1" customWidth="1"/>
    <col min="13309" max="13309" width="5.6328125" style="247" bestFit="1" customWidth="1"/>
    <col min="13310" max="13310" width="6.1796875" style="247" bestFit="1" customWidth="1"/>
    <col min="13311" max="13311" width="4.81640625" style="247" bestFit="1" customWidth="1"/>
    <col min="13312" max="13312" width="9.1796875" style="247" customWidth="1"/>
    <col min="13313" max="13313" width="7" style="247" customWidth="1"/>
    <col min="13314" max="13314" width="8.81640625" style="247"/>
    <col min="13315" max="13315" width="4.453125" style="247" bestFit="1" customWidth="1"/>
    <col min="13316" max="13316" width="4.6328125" style="247" customWidth="1"/>
    <col min="13317" max="13317" width="8.81640625" style="247"/>
    <col min="13318" max="13318" width="5.453125" style="247" bestFit="1" customWidth="1"/>
    <col min="13319" max="13319" width="5.36328125" style="247" bestFit="1" customWidth="1"/>
    <col min="13320" max="13320" width="5" style="247" bestFit="1" customWidth="1"/>
    <col min="13321" max="13321" width="4.6328125" style="247" bestFit="1" customWidth="1"/>
    <col min="13322" max="13322" width="5.1796875" style="247" customWidth="1"/>
    <col min="13323" max="13323" width="8.6328125" style="247" bestFit="1" customWidth="1"/>
    <col min="13324" max="13324" width="9.453125" style="247" bestFit="1" customWidth="1"/>
    <col min="13325" max="13325" width="8.81640625" style="247"/>
    <col min="13326" max="13326" width="9.81640625" style="247" bestFit="1" customWidth="1"/>
    <col min="13327" max="13524" width="8.81640625" style="247"/>
    <col min="13525" max="13525" width="14.1796875" style="247" bestFit="1" customWidth="1"/>
    <col min="13526" max="13526" width="15.453125" style="247" bestFit="1" customWidth="1"/>
    <col min="13527" max="13527" width="12.453125" style="247" bestFit="1" customWidth="1"/>
    <col min="13528" max="13528" width="6" style="247" bestFit="1" customWidth="1"/>
    <col min="13529" max="13529" width="4.81640625" style="247" bestFit="1" customWidth="1"/>
    <col min="13530" max="13530" width="6.453125" style="247" bestFit="1" customWidth="1"/>
    <col min="13531" max="13531" width="5.36328125" style="247" bestFit="1" customWidth="1"/>
    <col min="13532" max="13532" width="5.6328125" style="247" bestFit="1" customWidth="1"/>
    <col min="13533" max="13533" width="8.81640625" style="247"/>
    <col min="13534" max="13534" width="10.1796875" style="247" bestFit="1" customWidth="1"/>
    <col min="13535" max="13535" width="8.81640625" style="247"/>
    <col min="13536" max="13536" width="9.1796875" style="247" customWidth="1"/>
    <col min="13537" max="13537" width="8.81640625" style="247"/>
    <col min="13538" max="13538" width="4.453125" style="247" bestFit="1" customWidth="1"/>
    <col min="13539" max="13539" width="8.81640625" style="247"/>
    <col min="13540" max="13540" width="9.81640625" style="247" bestFit="1" customWidth="1"/>
    <col min="13541" max="13541" width="8" style="247" bestFit="1" customWidth="1"/>
    <col min="13542" max="13542" width="8.6328125" style="247" customWidth="1"/>
    <col min="13543" max="13543" width="8.81640625" style="247"/>
    <col min="13544" max="13545" width="9.1796875" style="247" customWidth="1"/>
    <col min="13546" max="13546" width="8.81640625" style="247"/>
    <col min="13547" max="13547" width="9.1796875" style="247" customWidth="1"/>
    <col min="13548" max="13548" width="8.81640625" style="247"/>
    <col min="13549" max="13549" width="9.1796875" style="247" customWidth="1"/>
    <col min="13550" max="13550" width="8.81640625" style="247"/>
    <col min="13551" max="13551" width="9.1796875" style="247" customWidth="1"/>
    <col min="13552" max="13552" width="8.81640625" style="247"/>
    <col min="13553" max="13553" width="9.1796875" style="247" customWidth="1"/>
    <col min="13554" max="13554" width="8.81640625" style="247"/>
    <col min="13555" max="13555" width="9.1796875" style="247" customWidth="1"/>
    <col min="13556" max="13556" width="8.81640625" style="247"/>
    <col min="13557" max="13557" width="9.1796875" style="247" customWidth="1"/>
    <col min="13558" max="13558" width="8.81640625" style="247"/>
    <col min="13559" max="13559" width="9.1796875" style="247" customWidth="1"/>
    <col min="13560" max="13560" width="8.81640625" style="247"/>
    <col min="13561" max="13561" width="9.1796875" style="247" customWidth="1"/>
    <col min="13562" max="13562" width="8" style="247" bestFit="1" customWidth="1"/>
    <col min="13563" max="13563" width="8.6328125" style="247" bestFit="1" customWidth="1"/>
    <col min="13564" max="13564" width="5.1796875" style="247" bestFit="1" customWidth="1"/>
    <col min="13565" max="13565" width="5.6328125" style="247" bestFit="1" customWidth="1"/>
    <col min="13566" max="13566" width="6.1796875" style="247" bestFit="1" customWidth="1"/>
    <col min="13567" max="13567" width="4.81640625" style="247" bestFit="1" customWidth="1"/>
    <col min="13568" max="13568" width="9.1796875" style="247" customWidth="1"/>
    <col min="13569" max="13569" width="7" style="247" customWidth="1"/>
    <col min="13570" max="13570" width="8.81640625" style="247"/>
    <col min="13571" max="13571" width="4.453125" style="247" bestFit="1" customWidth="1"/>
    <col min="13572" max="13572" width="4.6328125" style="247" customWidth="1"/>
    <col min="13573" max="13573" width="8.81640625" style="247"/>
    <col min="13574" max="13574" width="5.453125" style="247" bestFit="1" customWidth="1"/>
    <col min="13575" max="13575" width="5.36328125" style="247" bestFit="1" customWidth="1"/>
    <col min="13576" max="13576" width="5" style="247" bestFit="1" customWidth="1"/>
    <col min="13577" max="13577" width="4.6328125" style="247" bestFit="1" customWidth="1"/>
    <col min="13578" max="13578" width="5.1796875" style="247" customWidth="1"/>
    <col min="13579" max="13579" width="8.6328125" style="247" bestFit="1" customWidth="1"/>
    <col min="13580" max="13580" width="9.453125" style="247" bestFit="1" customWidth="1"/>
    <col min="13581" max="13581" width="8.81640625" style="247"/>
    <col min="13582" max="13582" width="9.81640625" style="247" bestFit="1" customWidth="1"/>
    <col min="13583" max="13780" width="8.81640625" style="247"/>
    <col min="13781" max="13781" width="14.1796875" style="247" bestFit="1" customWidth="1"/>
    <col min="13782" max="13782" width="15.453125" style="247" bestFit="1" customWidth="1"/>
    <col min="13783" max="13783" width="12.453125" style="247" bestFit="1" customWidth="1"/>
    <col min="13784" max="13784" width="6" style="247" bestFit="1" customWidth="1"/>
    <col min="13785" max="13785" width="4.81640625" style="247" bestFit="1" customWidth="1"/>
    <col min="13786" max="13786" width="6.453125" style="247" bestFit="1" customWidth="1"/>
    <col min="13787" max="13787" width="5.36328125" style="247" bestFit="1" customWidth="1"/>
    <col min="13788" max="13788" width="5.6328125" style="247" bestFit="1" customWidth="1"/>
    <col min="13789" max="13789" width="8.81640625" style="247"/>
    <col min="13790" max="13790" width="10.1796875" style="247" bestFit="1" customWidth="1"/>
    <col min="13791" max="13791" width="8.81640625" style="247"/>
    <col min="13792" max="13792" width="9.1796875" style="247" customWidth="1"/>
    <col min="13793" max="13793" width="8.81640625" style="247"/>
    <col min="13794" max="13794" width="4.453125" style="247" bestFit="1" customWidth="1"/>
    <col min="13795" max="13795" width="8.81640625" style="247"/>
    <col min="13796" max="13796" width="9.81640625" style="247" bestFit="1" customWidth="1"/>
    <col min="13797" max="13797" width="8" style="247" bestFit="1" customWidth="1"/>
    <col min="13798" max="13798" width="8.6328125" style="247" customWidth="1"/>
    <col min="13799" max="13799" width="8.81640625" style="247"/>
    <col min="13800" max="13801" width="9.1796875" style="247" customWidth="1"/>
    <col min="13802" max="13802" width="8.81640625" style="247"/>
    <col min="13803" max="13803" width="9.1796875" style="247" customWidth="1"/>
    <col min="13804" max="13804" width="8.81640625" style="247"/>
    <col min="13805" max="13805" width="9.1796875" style="247" customWidth="1"/>
    <col min="13806" max="13806" width="8.81640625" style="247"/>
    <col min="13807" max="13807" width="9.1796875" style="247" customWidth="1"/>
    <col min="13808" max="13808" width="8.81640625" style="247"/>
    <col min="13809" max="13809" width="9.1796875" style="247" customWidth="1"/>
    <col min="13810" max="13810" width="8.81640625" style="247"/>
    <col min="13811" max="13811" width="9.1796875" style="247" customWidth="1"/>
    <col min="13812" max="13812" width="8.81640625" style="247"/>
    <col min="13813" max="13813" width="9.1796875" style="247" customWidth="1"/>
    <col min="13814" max="13814" width="8.81640625" style="247"/>
    <col min="13815" max="13815" width="9.1796875" style="247" customWidth="1"/>
    <col min="13816" max="13816" width="8.81640625" style="247"/>
    <col min="13817" max="13817" width="9.1796875" style="247" customWidth="1"/>
    <col min="13818" max="13818" width="8" style="247" bestFit="1" customWidth="1"/>
    <col min="13819" max="13819" width="8.6328125" style="247" bestFit="1" customWidth="1"/>
    <col min="13820" max="13820" width="5.1796875" style="247" bestFit="1" customWidth="1"/>
    <col min="13821" max="13821" width="5.6328125" style="247" bestFit="1" customWidth="1"/>
    <col min="13822" max="13822" width="6.1796875" style="247" bestFit="1" customWidth="1"/>
    <col min="13823" max="13823" width="4.81640625" style="247" bestFit="1" customWidth="1"/>
    <col min="13824" max="13824" width="9.1796875" style="247" customWidth="1"/>
    <col min="13825" max="13825" width="7" style="247" customWidth="1"/>
    <col min="13826" max="13826" width="8.81640625" style="247"/>
    <col min="13827" max="13827" width="4.453125" style="247" bestFit="1" customWidth="1"/>
    <col min="13828" max="13828" width="4.6328125" style="247" customWidth="1"/>
    <col min="13829" max="13829" width="8.81640625" style="247"/>
    <col min="13830" max="13830" width="5.453125" style="247" bestFit="1" customWidth="1"/>
    <col min="13831" max="13831" width="5.36328125" style="247" bestFit="1" customWidth="1"/>
    <col min="13832" max="13832" width="5" style="247" bestFit="1" customWidth="1"/>
    <col min="13833" max="13833" width="4.6328125" style="247" bestFit="1" customWidth="1"/>
    <col min="13834" max="13834" width="5.1796875" style="247" customWidth="1"/>
    <col min="13835" max="13835" width="8.6328125" style="247" bestFit="1" customWidth="1"/>
    <col min="13836" max="13836" width="9.453125" style="247" bestFit="1" customWidth="1"/>
    <col min="13837" max="13837" width="8.81640625" style="247"/>
    <col min="13838" max="13838" width="9.81640625" style="247" bestFit="1" customWidth="1"/>
    <col min="13839" max="14036" width="8.81640625" style="247"/>
    <col min="14037" max="14037" width="14.1796875" style="247" bestFit="1" customWidth="1"/>
    <col min="14038" max="14038" width="15.453125" style="247" bestFit="1" customWidth="1"/>
    <col min="14039" max="14039" width="12.453125" style="247" bestFit="1" customWidth="1"/>
    <col min="14040" max="14040" width="6" style="247" bestFit="1" customWidth="1"/>
    <col min="14041" max="14041" width="4.81640625" style="247" bestFit="1" customWidth="1"/>
    <col min="14042" max="14042" width="6.453125" style="247" bestFit="1" customWidth="1"/>
    <col min="14043" max="14043" width="5.36328125" style="247" bestFit="1" customWidth="1"/>
    <col min="14044" max="14044" width="5.6328125" style="247" bestFit="1" customWidth="1"/>
    <col min="14045" max="14045" width="8.81640625" style="247"/>
    <col min="14046" max="14046" width="10.1796875" style="247" bestFit="1" customWidth="1"/>
    <col min="14047" max="14047" width="8.81640625" style="247"/>
    <col min="14048" max="14048" width="9.1796875" style="247" customWidth="1"/>
    <col min="14049" max="14049" width="8.81640625" style="247"/>
    <col min="14050" max="14050" width="4.453125" style="247" bestFit="1" customWidth="1"/>
    <col min="14051" max="14051" width="8.81640625" style="247"/>
    <col min="14052" max="14052" width="9.81640625" style="247" bestFit="1" customWidth="1"/>
    <col min="14053" max="14053" width="8" style="247" bestFit="1" customWidth="1"/>
    <col min="14054" max="14054" width="8.6328125" style="247" customWidth="1"/>
    <col min="14055" max="14055" width="8.81640625" style="247"/>
    <col min="14056" max="14057" width="9.1796875" style="247" customWidth="1"/>
    <col min="14058" max="14058" width="8.81640625" style="247"/>
    <col min="14059" max="14059" width="9.1796875" style="247" customWidth="1"/>
    <col min="14060" max="14060" width="8.81640625" style="247"/>
    <col min="14061" max="14061" width="9.1796875" style="247" customWidth="1"/>
    <col min="14062" max="14062" width="8.81640625" style="247"/>
    <col min="14063" max="14063" width="9.1796875" style="247" customWidth="1"/>
    <col min="14064" max="14064" width="8.81640625" style="247"/>
    <col min="14065" max="14065" width="9.1796875" style="247" customWidth="1"/>
    <col min="14066" max="14066" width="8.81640625" style="247"/>
    <col min="14067" max="14067" width="9.1796875" style="247" customWidth="1"/>
    <col min="14068" max="14068" width="8.81640625" style="247"/>
    <col min="14069" max="14069" width="9.1796875" style="247" customWidth="1"/>
    <col min="14070" max="14070" width="8.81640625" style="247"/>
    <col min="14071" max="14071" width="9.1796875" style="247" customWidth="1"/>
    <col min="14072" max="14072" width="8.81640625" style="247"/>
    <col min="14073" max="14073" width="9.1796875" style="247" customWidth="1"/>
    <col min="14074" max="14074" width="8" style="247" bestFit="1" customWidth="1"/>
    <col min="14075" max="14075" width="8.6328125" style="247" bestFit="1" customWidth="1"/>
    <col min="14076" max="14076" width="5.1796875" style="247" bestFit="1" customWidth="1"/>
    <col min="14077" max="14077" width="5.6328125" style="247" bestFit="1" customWidth="1"/>
    <col min="14078" max="14078" width="6.1796875" style="247" bestFit="1" customWidth="1"/>
    <col min="14079" max="14079" width="4.81640625" style="247" bestFit="1" customWidth="1"/>
    <col min="14080" max="14080" width="9.1796875" style="247" customWidth="1"/>
    <col min="14081" max="14081" width="7" style="247" customWidth="1"/>
    <col min="14082" max="14082" width="8.81640625" style="247"/>
    <col min="14083" max="14083" width="4.453125" style="247" bestFit="1" customWidth="1"/>
    <col min="14084" max="14084" width="4.6328125" style="247" customWidth="1"/>
    <col min="14085" max="14085" width="8.81640625" style="247"/>
    <col min="14086" max="14086" width="5.453125" style="247" bestFit="1" customWidth="1"/>
    <col min="14087" max="14087" width="5.36328125" style="247" bestFit="1" customWidth="1"/>
    <col min="14088" max="14088" width="5" style="247" bestFit="1" customWidth="1"/>
    <col min="14089" max="14089" width="4.6328125" style="247" bestFit="1" customWidth="1"/>
    <col min="14090" max="14090" width="5.1796875" style="247" customWidth="1"/>
    <col min="14091" max="14091" width="8.6328125" style="247" bestFit="1" customWidth="1"/>
    <col min="14092" max="14092" width="9.453125" style="247" bestFit="1" customWidth="1"/>
    <col min="14093" max="14093" width="8.81640625" style="247"/>
    <col min="14094" max="14094" width="9.81640625" style="247" bestFit="1" customWidth="1"/>
    <col min="14095" max="14292" width="8.81640625" style="247"/>
    <col min="14293" max="14293" width="14.1796875" style="247" bestFit="1" customWidth="1"/>
    <col min="14294" max="14294" width="15.453125" style="247" bestFit="1" customWidth="1"/>
    <col min="14295" max="14295" width="12.453125" style="247" bestFit="1" customWidth="1"/>
    <col min="14296" max="14296" width="6" style="247" bestFit="1" customWidth="1"/>
    <col min="14297" max="14297" width="4.81640625" style="247" bestFit="1" customWidth="1"/>
    <col min="14298" max="14298" width="6.453125" style="247" bestFit="1" customWidth="1"/>
    <col min="14299" max="14299" width="5.36328125" style="247" bestFit="1" customWidth="1"/>
    <col min="14300" max="14300" width="5.6328125" style="247" bestFit="1" customWidth="1"/>
    <col min="14301" max="14301" width="8.81640625" style="247"/>
    <col min="14302" max="14302" width="10.1796875" style="247" bestFit="1" customWidth="1"/>
    <col min="14303" max="14303" width="8.81640625" style="247"/>
    <col min="14304" max="14304" width="9.1796875" style="247" customWidth="1"/>
    <col min="14305" max="14305" width="8.81640625" style="247"/>
    <col min="14306" max="14306" width="4.453125" style="247" bestFit="1" customWidth="1"/>
    <col min="14307" max="14307" width="8.81640625" style="247"/>
    <col min="14308" max="14308" width="9.81640625" style="247" bestFit="1" customWidth="1"/>
    <col min="14309" max="14309" width="8" style="247" bestFit="1" customWidth="1"/>
    <col min="14310" max="14310" width="8.6328125" style="247" customWidth="1"/>
    <col min="14311" max="14311" width="8.81640625" style="247"/>
    <col min="14312" max="14313" width="9.1796875" style="247" customWidth="1"/>
    <col min="14314" max="14314" width="8.81640625" style="247"/>
    <col min="14315" max="14315" width="9.1796875" style="247" customWidth="1"/>
    <col min="14316" max="14316" width="8.81640625" style="247"/>
    <col min="14317" max="14317" width="9.1796875" style="247" customWidth="1"/>
    <col min="14318" max="14318" width="8.81640625" style="247"/>
    <col min="14319" max="14319" width="9.1796875" style="247" customWidth="1"/>
    <col min="14320" max="14320" width="8.81640625" style="247"/>
    <col min="14321" max="14321" width="9.1796875" style="247" customWidth="1"/>
    <col min="14322" max="14322" width="8.81640625" style="247"/>
    <col min="14323" max="14323" width="9.1796875" style="247" customWidth="1"/>
    <col min="14324" max="14324" width="8.81640625" style="247"/>
    <col min="14325" max="14325" width="9.1796875" style="247" customWidth="1"/>
    <col min="14326" max="14326" width="8.81640625" style="247"/>
    <col min="14327" max="14327" width="9.1796875" style="247" customWidth="1"/>
    <col min="14328" max="14328" width="8.81640625" style="247"/>
    <col min="14329" max="14329" width="9.1796875" style="247" customWidth="1"/>
    <col min="14330" max="14330" width="8" style="247" bestFit="1" customWidth="1"/>
    <col min="14331" max="14331" width="8.6328125" style="247" bestFit="1" customWidth="1"/>
    <col min="14332" max="14332" width="5.1796875" style="247" bestFit="1" customWidth="1"/>
    <col min="14333" max="14333" width="5.6328125" style="247" bestFit="1" customWidth="1"/>
    <col min="14334" max="14334" width="6.1796875" style="247" bestFit="1" customWidth="1"/>
    <col min="14335" max="14335" width="4.81640625" style="247" bestFit="1" customWidth="1"/>
    <col min="14336" max="14336" width="9.1796875" style="247" customWidth="1"/>
    <col min="14337" max="14337" width="7" style="247" customWidth="1"/>
    <col min="14338" max="14338" width="8.81640625" style="247"/>
    <col min="14339" max="14339" width="4.453125" style="247" bestFit="1" customWidth="1"/>
    <col min="14340" max="14340" width="4.6328125" style="247" customWidth="1"/>
    <col min="14341" max="14341" width="8.81640625" style="247"/>
    <col min="14342" max="14342" width="5.453125" style="247" bestFit="1" customWidth="1"/>
    <col min="14343" max="14343" width="5.36328125" style="247" bestFit="1" customWidth="1"/>
    <col min="14344" max="14344" width="5" style="247" bestFit="1" customWidth="1"/>
    <col min="14345" max="14345" width="4.6328125" style="247" bestFit="1" customWidth="1"/>
    <col min="14346" max="14346" width="5.1796875" style="247" customWidth="1"/>
    <col min="14347" max="14347" width="8.6328125" style="247" bestFit="1" customWidth="1"/>
    <col min="14348" max="14348" width="9.453125" style="247" bestFit="1" customWidth="1"/>
    <col min="14349" max="14349" width="8.81640625" style="247"/>
    <col min="14350" max="14350" width="9.81640625" style="247" bestFit="1" customWidth="1"/>
    <col min="14351" max="14548" width="8.81640625" style="247"/>
    <col min="14549" max="14549" width="14.1796875" style="247" bestFit="1" customWidth="1"/>
    <col min="14550" max="14550" width="15.453125" style="247" bestFit="1" customWidth="1"/>
    <col min="14551" max="14551" width="12.453125" style="247" bestFit="1" customWidth="1"/>
    <col min="14552" max="14552" width="6" style="247" bestFit="1" customWidth="1"/>
    <col min="14553" max="14553" width="4.81640625" style="247" bestFit="1" customWidth="1"/>
    <col min="14554" max="14554" width="6.453125" style="247" bestFit="1" customWidth="1"/>
    <col min="14555" max="14555" width="5.36328125" style="247" bestFit="1" customWidth="1"/>
    <col min="14556" max="14556" width="5.6328125" style="247" bestFit="1" customWidth="1"/>
    <col min="14557" max="14557" width="8.81640625" style="247"/>
    <col min="14558" max="14558" width="10.1796875" style="247" bestFit="1" customWidth="1"/>
    <col min="14559" max="14559" width="8.81640625" style="247"/>
    <col min="14560" max="14560" width="9.1796875" style="247" customWidth="1"/>
    <col min="14561" max="14561" width="8.81640625" style="247"/>
    <col min="14562" max="14562" width="4.453125" style="247" bestFit="1" customWidth="1"/>
    <col min="14563" max="14563" width="8.81640625" style="247"/>
    <col min="14564" max="14564" width="9.81640625" style="247" bestFit="1" customWidth="1"/>
    <col min="14565" max="14565" width="8" style="247" bestFit="1" customWidth="1"/>
    <col min="14566" max="14566" width="8.6328125" style="247" customWidth="1"/>
    <col min="14567" max="14567" width="8.81640625" style="247"/>
    <col min="14568" max="14569" width="9.1796875" style="247" customWidth="1"/>
    <col min="14570" max="14570" width="8.81640625" style="247"/>
    <col min="14571" max="14571" width="9.1796875" style="247" customWidth="1"/>
    <col min="14572" max="14572" width="8.81640625" style="247"/>
    <col min="14573" max="14573" width="9.1796875" style="247" customWidth="1"/>
    <col min="14574" max="14574" width="8.81640625" style="247"/>
    <col min="14575" max="14575" width="9.1796875" style="247" customWidth="1"/>
    <col min="14576" max="14576" width="8.81640625" style="247"/>
    <col min="14577" max="14577" width="9.1796875" style="247" customWidth="1"/>
    <col min="14578" max="14578" width="8.81640625" style="247"/>
    <col min="14579" max="14579" width="9.1796875" style="247" customWidth="1"/>
    <col min="14580" max="14580" width="8.81640625" style="247"/>
    <col min="14581" max="14581" width="9.1796875" style="247" customWidth="1"/>
    <col min="14582" max="14582" width="8.81640625" style="247"/>
    <col min="14583" max="14583" width="9.1796875" style="247" customWidth="1"/>
    <col min="14584" max="14584" width="8.81640625" style="247"/>
    <col min="14585" max="14585" width="9.1796875" style="247" customWidth="1"/>
    <col min="14586" max="14586" width="8" style="247" bestFit="1" customWidth="1"/>
    <col min="14587" max="14587" width="8.6328125" style="247" bestFit="1" customWidth="1"/>
    <col min="14588" max="14588" width="5.1796875" style="247" bestFit="1" customWidth="1"/>
    <col min="14589" max="14589" width="5.6328125" style="247" bestFit="1" customWidth="1"/>
    <col min="14590" max="14590" width="6.1796875" style="247" bestFit="1" customWidth="1"/>
    <col min="14591" max="14591" width="4.81640625" style="247" bestFit="1" customWidth="1"/>
    <col min="14592" max="14592" width="9.1796875" style="247" customWidth="1"/>
    <col min="14593" max="14593" width="7" style="247" customWidth="1"/>
    <col min="14594" max="14594" width="8.81640625" style="247"/>
    <col min="14595" max="14595" width="4.453125" style="247" bestFit="1" customWidth="1"/>
    <col min="14596" max="14596" width="4.6328125" style="247" customWidth="1"/>
    <col min="14597" max="14597" width="8.81640625" style="247"/>
    <col min="14598" max="14598" width="5.453125" style="247" bestFit="1" customWidth="1"/>
    <col min="14599" max="14599" width="5.36328125" style="247" bestFit="1" customWidth="1"/>
    <col min="14600" max="14600" width="5" style="247" bestFit="1" customWidth="1"/>
    <col min="14601" max="14601" width="4.6328125" style="247" bestFit="1" customWidth="1"/>
    <col min="14602" max="14602" width="5.1796875" style="247" customWidth="1"/>
    <col min="14603" max="14603" width="8.6328125" style="247" bestFit="1" customWidth="1"/>
    <col min="14604" max="14604" width="9.453125" style="247" bestFit="1" customWidth="1"/>
    <col min="14605" max="14605" width="8.81640625" style="247"/>
    <col min="14606" max="14606" width="9.81640625" style="247" bestFit="1" customWidth="1"/>
    <col min="14607" max="14804" width="8.81640625" style="247"/>
    <col min="14805" max="14805" width="14.1796875" style="247" bestFit="1" customWidth="1"/>
    <col min="14806" max="14806" width="15.453125" style="247" bestFit="1" customWidth="1"/>
    <col min="14807" max="14807" width="12.453125" style="247" bestFit="1" customWidth="1"/>
    <col min="14808" max="14808" width="6" style="247" bestFit="1" customWidth="1"/>
    <col min="14809" max="14809" width="4.81640625" style="247" bestFit="1" customWidth="1"/>
    <col min="14810" max="14810" width="6.453125" style="247" bestFit="1" customWidth="1"/>
    <col min="14811" max="14811" width="5.36328125" style="247" bestFit="1" customWidth="1"/>
    <col min="14812" max="14812" width="5.6328125" style="247" bestFit="1" customWidth="1"/>
    <col min="14813" max="14813" width="8.81640625" style="247"/>
    <col min="14814" max="14814" width="10.1796875" style="247" bestFit="1" customWidth="1"/>
    <col min="14815" max="14815" width="8.81640625" style="247"/>
    <col min="14816" max="14816" width="9.1796875" style="247" customWidth="1"/>
    <col min="14817" max="14817" width="8.81640625" style="247"/>
    <col min="14818" max="14818" width="4.453125" style="247" bestFit="1" customWidth="1"/>
    <col min="14819" max="14819" width="8.81640625" style="247"/>
    <col min="14820" max="14820" width="9.81640625" style="247" bestFit="1" customWidth="1"/>
    <col min="14821" max="14821" width="8" style="247" bestFit="1" customWidth="1"/>
    <col min="14822" max="14822" width="8.6328125" style="247" customWidth="1"/>
    <col min="14823" max="14823" width="8.81640625" style="247"/>
    <col min="14824" max="14825" width="9.1796875" style="247" customWidth="1"/>
    <col min="14826" max="14826" width="8.81640625" style="247"/>
    <col min="14827" max="14827" width="9.1796875" style="247" customWidth="1"/>
    <col min="14828" max="14828" width="8.81640625" style="247"/>
    <col min="14829" max="14829" width="9.1796875" style="247" customWidth="1"/>
    <col min="14830" max="14830" width="8.81640625" style="247"/>
    <col min="14831" max="14831" width="9.1796875" style="247" customWidth="1"/>
    <col min="14832" max="14832" width="8.81640625" style="247"/>
    <col min="14833" max="14833" width="9.1796875" style="247" customWidth="1"/>
    <col min="14834" max="14834" width="8.81640625" style="247"/>
    <col min="14835" max="14835" width="9.1796875" style="247" customWidth="1"/>
    <col min="14836" max="14836" width="8.81640625" style="247"/>
    <col min="14837" max="14837" width="9.1796875" style="247" customWidth="1"/>
    <col min="14838" max="14838" width="8.81640625" style="247"/>
    <col min="14839" max="14839" width="9.1796875" style="247" customWidth="1"/>
    <col min="14840" max="14840" width="8.81640625" style="247"/>
    <col min="14841" max="14841" width="9.1796875" style="247" customWidth="1"/>
    <col min="14842" max="14842" width="8" style="247" bestFit="1" customWidth="1"/>
    <col min="14843" max="14843" width="8.6328125" style="247" bestFit="1" customWidth="1"/>
    <col min="14844" max="14844" width="5.1796875" style="247" bestFit="1" customWidth="1"/>
    <col min="14845" max="14845" width="5.6328125" style="247" bestFit="1" customWidth="1"/>
    <col min="14846" max="14846" width="6.1796875" style="247" bestFit="1" customWidth="1"/>
    <col min="14847" max="14847" width="4.81640625" style="247" bestFit="1" customWidth="1"/>
    <col min="14848" max="14848" width="9.1796875" style="247" customWidth="1"/>
    <col min="14849" max="14849" width="7" style="247" customWidth="1"/>
    <col min="14850" max="14850" width="8.81640625" style="247"/>
    <col min="14851" max="14851" width="4.453125" style="247" bestFit="1" customWidth="1"/>
    <col min="14852" max="14852" width="4.6328125" style="247" customWidth="1"/>
    <col min="14853" max="14853" width="8.81640625" style="247"/>
    <col min="14854" max="14854" width="5.453125" style="247" bestFit="1" customWidth="1"/>
    <col min="14855" max="14855" width="5.36328125" style="247" bestFit="1" customWidth="1"/>
    <col min="14856" max="14856" width="5" style="247" bestFit="1" customWidth="1"/>
    <col min="14857" max="14857" width="4.6328125" style="247" bestFit="1" customWidth="1"/>
    <col min="14858" max="14858" width="5.1796875" style="247" customWidth="1"/>
    <col min="14859" max="14859" width="8.6328125" style="247" bestFit="1" customWidth="1"/>
    <col min="14860" max="14860" width="9.453125" style="247" bestFit="1" customWidth="1"/>
    <col min="14861" max="14861" width="8.81640625" style="247"/>
    <col min="14862" max="14862" width="9.81640625" style="247" bestFit="1" customWidth="1"/>
    <col min="14863" max="15060" width="8.81640625" style="247"/>
    <col min="15061" max="15061" width="14.1796875" style="247" bestFit="1" customWidth="1"/>
    <col min="15062" max="15062" width="15.453125" style="247" bestFit="1" customWidth="1"/>
    <col min="15063" max="15063" width="12.453125" style="247" bestFit="1" customWidth="1"/>
    <col min="15064" max="15064" width="6" style="247" bestFit="1" customWidth="1"/>
    <col min="15065" max="15065" width="4.81640625" style="247" bestFit="1" customWidth="1"/>
    <col min="15066" max="15066" width="6.453125" style="247" bestFit="1" customWidth="1"/>
    <col min="15067" max="15067" width="5.36328125" style="247" bestFit="1" customWidth="1"/>
    <col min="15068" max="15068" width="5.6328125" style="247" bestFit="1" customWidth="1"/>
    <col min="15069" max="15069" width="8.81640625" style="247"/>
    <col min="15070" max="15070" width="10.1796875" style="247" bestFit="1" customWidth="1"/>
    <col min="15071" max="15071" width="8.81640625" style="247"/>
    <col min="15072" max="15072" width="9.1796875" style="247" customWidth="1"/>
    <col min="15073" max="15073" width="8.81640625" style="247"/>
    <col min="15074" max="15074" width="4.453125" style="247" bestFit="1" customWidth="1"/>
    <col min="15075" max="15075" width="8.81640625" style="247"/>
    <col min="15076" max="15076" width="9.81640625" style="247" bestFit="1" customWidth="1"/>
    <col min="15077" max="15077" width="8" style="247" bestFit="1" customWidth="1"/>
    <col min="15078" max="15078" width="8.6328125" style="247" customWidth="1"/>
    <col min="15079" max="15079" width="8.81640625" style="247"/>
    <col min="15080" max="15081" width="9.1796875" style="247" customWidth="1"/>
    <col min="15082" max="15082" width="8.81640625" style="247"/>
    <col min="15083" max="15083" width="9.1796875" style="247" customWidth="1"/>
    <col min="15084" max="15084" width="8.81640625" style="247"/>
    <col min="15085" max="15085" width="9.1796875" style="247" customWidth="1"/>
    <col min="15086" max="15086" width="8.81640625" style="247"/>
    <col min="15087" max="15087" width="9.1796875" style="247" customWidth="1"/>
    <col min="15088" max="15088" width="8.81640625" style="247"/>
    <col min="15089" max="15089" width="9.1796875" style="247" customWidth="1"/>
    <col min="15090" max="15090" width="8.81640625" style="247"/>
    <col min="15091" max="15091" width="9.1796875" style="247" customWidth="1"/>
    <col min="15092" max="15092" width="8.81640625" style="247"/>
    <col min="15093" max="15093" width="9.1796875" style="247" customWidth="1"/>
    <col min="15094" max="15094" width="8.81640625" style="247"/>
    <col min="15095" max="15095" width="9.1796875" style="247" customWidth="1"/>
    <col min="15096" max="15096" width="8.81640625" style="247"/>
    <col min="15097" max="15097" width="9.1796875" style="247" customWidth="1"/>
    <col min="15098" max="15098" width="8" style="247" bestFit="1" customWidth="1"/>
    <col min="15099" max="15099" width="8.6328125" style="247" bestFit="1" customWidth="1"/>
    <col min="15100" max="15100" width="5.1796875" style="247" bestFit="1" customWidth="1"/>
    <col min="15101" max="15101" width="5.6328125" style="247" bestFit="1" customWidth="1"/>
    <col min="15102" max="15102" width="6.1796875" style="247" bestFit="1" customWidth="1"/>
    <col min="15103" max="15103" width="4.81640625" style="247" bestFit="1" customWidth="1"/>
    <col min="15104" max="15104" width="9.1796875" style="247" customWidth="1"/>
    <col min="15105" max="15105" width="7" style="247" customWidth="1"/>
    <col min="15106" max="15106" width="8.81640625" style="247"/>
    <col min="15107" max="15107" width="4.453125" style="247" bestFit="1" customWidth="1"/>
    <col min="15108" max="15108" width="4.6328125" style="247" customWidth="1"/>
    <col min="15109" max="15109" width="8.81640625" style="247"/>
    <col min="15110" max="15110" width="5.453125" style="247" bestFit="1" customWidth="1"/>
    <col min="15111" max="15111" width="5.36328125" style="247" bestFit="1" customWidth="1"/>
    <col min="15112" max="15112" width="5" style="247" bestFit="1" customWidth="1"/>
    <col min="15113" max="15113" width="4.6328125" style="247" bestFit="1" customWidth="1"/>
    <col min="15114" max="15114" width="5.1796875" style="247" customWidth="1"/>
    <col min="15115" max="15115" width="8.6328125" style="247" bestFit="1" customWidth="1"/>
    <col min="15116" max="15116" width="9.453125" style="247" bestFit="1" customWidth="1"/>
    <col min="15117" max="15117" width="8.81640625" style="247"/>
    <col min="15118" max="15118" width="9.81640625" style="247" bestFit="1" customWidth="1"/>
    <col min="15119" max="15316" width="8.81640625" style="247"/>
    <col min="15317" max="15317" width="14.1796875" style="247" bestFit="1" customWidth="1"/>
    <col min="15318" max="15318" width="15.453125" style="247" bestFit="1" customWidth="1"/>
    <col min="15319" max="15319" width="12.453125" style="247" bestFit="1" customWidth="1"/>
    <col min="15320" max="15320" width="6" style="247" bestFit="1" customWidth="1"/>
    <col min="15321" max="15321" width="4.81640625" style="247" bestFit="1" customWidth="1"/>
    <col min="15322" max="15322" width="6.453125" style="247" bestFit="1" customWidth="1"/>
    <col min="15323" max="15323" width="5.36328125" style="247" bestFit="1" customWidth="1"/>
    <col min="15324" max="15324" width="5.6328125" style="247" bestFit="1" customWidth="1"/>
    <col min="15325" max="15325" width="8.81640625" style="247"/>
    <col min="15326" max="15326" width="10.1796875" style="247" bestFit="1" customWidth="1"/>
    <col min="15327" max="15327" width="8.81640625" style="247"/>
    <col min="15328" max="15328" width="9.1796875" style="247" customWidth="1"/>
    <col min="15329" max="15329" width="8.81640625" style="247"/>
    <col min="15330" max="15330" width="4.453125" style="247" bestFit="1" customWidth="1"/>
    <col min="15331" max="15331" width="8.81640625" style="247"/>
    <col min="15332" max="15332" width="9.81640625" style="247" bestFit="1" customWidth="1"/>
    <col min="15333" max="15333" width="8" style="247" bestFit="1" customWidth="1"/>
    <col min="15334" max="15334" width="8.6328125" style="247" customWidth="1"/>
    <col min="15335" max="15335" width="8.81640625" style="247"/>
    <col min="15336" max="15337" width="9.1796875" style="247" customWidth="1"/>
    <col min="15338" max="15338" width="8.81640625" style="247"/>
    <col min="15339" max="15339" width="9.1796875" style="247" customWidth="1"/>
    <col min="15340" max="15340" width="8.81640625" style="247"/>
    <col min="15341" max="15341" width="9.1796875" style="247" customWidth="1"/>
    <col min="15342" max="15342" width="8.81640625" style="247"/>
    <col min="15343" max="15343" width="9.1796875" style="247" customWidth="1"/>
    <col min="15344" max="15344" width="8.81640625" style="247"/>
    <col min="15345" max="15345" width="9.1796875" style="247" customWidth="1"/>
    <col min="15346" max="15346" width="8.81640625" style="247"/>
    <col min="15347" max="15347" width="9.1796875" style="247" customWidth="1"/>
    <col min="15348" max="15348" width="8.81640625" style="247"/>
    <col min="15349" max="15349" width="9.1796875" style="247" customWidth="1"/>
    <col min="15350" max="15350" width="8.81640625" style="247"/>
    <col min="15351" max="15351" width="9.1796875" style="247" customWidth="1"/>
    <col min="15352" max="15352" width="8.81640625" style="247"/>
    <col min="15353" max="15353" width="9.1796875" style="247" customWidth="1"/>
    <col min="15354" max="15354" width="8" style="247" bestFit="1" customWidth="1"/>
    <col min="15355" max="15355" width="8.6328125" style="247" bestFit="1" customWidth="1"/>
    <col min="15356" max="15356" width="5.1796875" style="247" bestFit="1" customWidth="1"/>
    <col min="15357" max="15357" width="5.6328125" style="247" bestFit="1" customWidth="1"/>
    <col min="15358" max="15358" width="6.1796875" style="247" bestFit="1" customWidth="1"/>
    <col min="15359" max="15359" width="4.81640625" style="247" bestFit="1" customWidth="1"/>
    <col min="15360" max="15360" width="9.1796875" style="247" customWidth="1"/>
    <col min="15361" max="15361" width="7" style="247" customWidth="1"/>
    <col min="15362" max="15362" width="8.81640625" style="247"/>
    <col min="15363" max="15363" width="4.453125" style="247" bestFit="1" customWidth="1"/>
    <col min="15364" max="15364" width="4.6328125" style="247" customWidth="1"/>
    <col min="15365" max="15365" width="8.81640625" style="247"/>
    <col min="15366" max="15366" width="5.453125" style="247" bestFit="1" customWidth="1"/>
    <col min="15367" max="15367" width="5.36328125" style="247" bestFit="1" customWidth="1"/>
    <col min="15368" max="15368" width="5" style="247" bestFit="1" customWidth="1"/>
    <col min="15369" max="15369" width="4.6328125" style="247" bestFit="1" customWidth="1"/>
    <col min="15370" max="15370" width="5.1796875" style="247" customWidth="1"/>
    <col min="15371" max="15371" width="8.6328125" style="247" bestFit="1" customWidth="1"/>
    <col min="15372" max="15372" width="9.453125" style="247" bestFit="1" customWidth="1"/>
    <col min="15373" max="15373" width="8.81640625" style="247"/>
    <col min="15374" max="15374" width="9.81640625" style="247" bestFit="1" customWidth="1"/>
    <col min="15375" max="15572" width="8.81640625" style="247"/>
    <col min="15573" max="15573" width="14.1796875" style="247" bestFit="1" customWidth="1"/>
    <col min="15574" max="15574" width="15.453125" style="247" bestFit="1" customWidth="1"/>
    <col min="15575" max="15575" width="12.453125" style="247" bestFit="1" customWidth="1"/>
    <col min="15576" max="15576" width="6" style="247" bestFit="1" customWidth="1"/>
    <col min="15577" max="15577" width="4.81640625" style="247" bestFit="1" customWidth="1"/>
    <col min="15578" max="15578" width="6.453125" style="247" bestFit="1" customWidth="1"/>
    <col min="15579" max="15579" width="5.36328125" style="247" bestFit="1" customWidth="1"/>
    <col min="15580" max="15580" width="5.6328125" style="247" bestFit="1" customWidth="1"/>
    <col min="15581" max="15581" width="8.81640625" style="247"/>
    <col min="15582" max="15582" width="10.1796875" style="247" bestFit="1" customWidth="1"/>
    <col min="15583" max="15583" width="8.81640625" style="247"/>
    <col min="15584" max="15584" width="9.1796875" style="247" customWidth="1"/>
    <col min="15585" max="15585" width="8.81640625" style="247"/>
    <col min="15586" max="15586" width="4.453125" style="247" bestFit="1" customWidth="1"/>
    <col min="15587" max="15587" width="8.81640625" style="247"/>
    <col min="15588" max="15588" width="9.81640625" style="247" bestFit="1" customWidth="1"/>
    <col min="15589" max="15589" width="8" style="247" bestFit="1" customWidth="1"/>
    <col min="15590" max="15590" width="8.6328125" style="247" customWidth="1"/>
    <col min="15591" max="15591" width="8.81640625" style="247"/>
    <col min="15592" max="15593" width="9.1796875" style="247" customWidth="1"/>
    <col min="15594" max="15594" width="8.81640625" style="247"/>
    <col min="15595" max="15595" width="9.1796875" style="247" customWidth="1"/>
    <col min="15596" max="15596" width="8.81640625" style="247"/>
    <col min="15597" max="15597" width="9.1796875" style="247" customWidth="1"/>
    <col min="15598" max="15598" width="8.81640625" style="247"/>
    <col min="15599" max="15599" width="9.1796875" style="247" customWidth="1"/>
    <col min="15600" max="15600" width="8.81640625" style="247"/>
    <col min="15601" max="15601" width="9.1796875" style="247" customWidth="1"/>
    <col min="15602" max="15602" width="8.81640625" style="247"/>
    <col min="15603" max="15603" width="9.1796875" style="247" customWidth="1"/>
    <col min="15604" max="15604" width="8.81640625" style="247"/>
    <col min="15605" max="15605" width="9.1796875" style="247" customWidth="1"/>
    <col min="15606" max="15606" width="8.81640625" style="247"/>
    <col min="15607" max="15607" width="9.1796875" style="247" customWidth="1"/>
    <col min="15608" max="15608" width="8.81640625" style="247"/>
    <col min="15609" max="15609" width="9.1796875" style="247" customWidth="1"/>
    <col min="15610" max="15610" width="8" style="247" bestFit="1" customWidth="1"/>
    <col min="15611" max="15611" width="8.6328125" style="247" bestFit="1" customWidth="1"/>
    <col min="15612" max="15612" width="5.1796875" style="247" bestFit="1" customWidth="1"/>
    <col min="15613" max="15613" width="5.6328125" style="247" bestFit="1" customWidth="1"/>
    <col min="15614" max="15614" width="6.1796875" style="247" bestFit="1" customWidth="1"/>
    <col min="15615" max="15615" width="4.81640625" style="247" bestFit="1" customWidth="1"/>
    <col min="15616" max="15616" width="9.1796875" style="247" customWidth="1"/>
    <col min="15617" max="15617" width="7" style="247" customWidth="1"/>
    <col min="15618" max="15618" width="8.81640625" style="247"/>
    <col min="15619" max="15619" width="4.453125" style="247" bestFit="1" customWidth="1"/>
    <col min="15620" max="15620" width="4.6328125" style="247" customWidth="1"/>
    <col min="15621" max="15621" width="8.81640625" style="247"/>
    <col min="15622" max="15622" width="5.453125" style="247" bestFit="1" customWidth="1"/>
    <col min="15623" max="15623" width="5.36328125" style="247" bestFit="1" customWidth="1"/>
    <col min="15624" max="15624" width="5" style="247" bestFit="1" customWidth="1"/>
    <col min="15625" max="15625" width="4.6328125" style="247" bestFit="1" customWidth="1"/>
    <col min="15626" max="15626" width="5.1796875" style="247" customWidth="1"/>
    <col min="15627" max="15627" width="8.6328125" style="247" bestFit="1" customWidth="1"/>
    <col min="15628" max="15628" width="9.453125" style="247" bestFit="1" customWidth="1"/>
    <col min="15629" max="15629" width="8.81640625" style="247"/>
    <col min="15630" max="15630" width="9.81640625" style="247" bestFit="1" customWidth="1"/>
    <col min="15631" max="15828" width="8.81640625" style="247"/>
    <col min="15829" max="15829" width="14.1796875" style="247" bestFit="1" customWidth="1"/>
    <col min="15830" max="15830" width="15.453125" style="247" bestFit="1" customWidth="1"/>
    <col min="15831" max="15831" width="12.453125" style="247" bestFit="1" customWidth="1"/>
    <col min="15832" max="15832" width="6" style="247" bestFit="1" customWidth="1"/>
    <col min="15833" max="15833" width="4.81640625" style="247" bestFit="1" customWidth="1"/>
    <col min="15834" max="15834" width="6.453125" style="247" bestFit="1" customWidth="1"/>
    <col min="15835" max="15835" width="5.36328125" style="247" bestFit="1" customWidth="1"/>
    <col min="15836" max="15836" width="5.6328125" style="247" bestFit="1" customWidth="1"/>
    <col min="15837" max="15837" width="8.81640625" style="247"/>
    <col min="15838" max="15838" width="10.1796875" style="247" bestFit="1" customWidth="1"/>
    <col min="15839" max="15839" width="8.81640625" style="247"/>
    <col min="15840" max="15840" width="9.1796875" style="247" customWidth="1"/>
    <col min="15841" max="15841" width="8.81640625" style="247"/>
    <col min="15842" max="15842" width="4.453125" style="247" bestFit="1" customWidth="1"/>
    <col min="15843" max="15843" width="8.81640625" style="247"/>
    <col min="15844" max="15844" width="9.81640625" style="247" bestFit="1" customWidth="1"/>
    <col min="15845" max="15845" width="8" style="247" bestFit="1" customWidth="1"/>
    <col min="15846" max="15846" width="8.6328125" style="247" customWidth="1"/>
    <col min="15847" max="15847" width="8.81640625" style="247"/>
    <col min="15848" max="15849" width="9.1796875" style="247" customWidth="1"/>
    <col min="15850" max="15850" width="8.81640625" style="247"/>
    <col min="15851" max="15851" width="9.1796875" style="247" customWidth="1"/>
    <col min="15852" max="15852" width="8.81640625" style="247"/>
    <col min="15853" max="15853" width="9.1796875" style="247" customWidth="1"/>
    <col min="15854" max="15854" width="8.81640625" style="247"/>
    <col min="15855" max="15855" width="9.1796875" style="247" customWidth="1"/>
    <col min="15856" max="15856" width="8.81640625" style="247"/>
    <col min="15857" max="15857" width="9.1796875" style="247" customWidth="1"/>
    <col min="15858" max="15858" width="8.81640625" style="247"/>
    <col min="15859" max="15859" width="9.1796875" style="247" customWidth="1"/>
    <col min="15860" max="15860" width="8.81640625" style="247"/>
    <col min="15861" max="15861" width="9.1796875" style="247" customWidth="1"/>
    <col min="15862" max="15862" width="8.81640625" style="247"/>
    <col min="15863" max="15863" width="9.1796875" style="247" customWidth="1"/>
    <col min="15864" max="15864" width="8.81640625" style="247"/>
    <col min="15865" max="15865" width="9.1796875" style="247" customWidth="1"/>
    <col min="15866" max="15866" width="8" style="247" bestFit="1" customWidth="1"/>
    <col min="15867" max="15867" width="8.6328125" style="247" bestFit="1" customWidth="1"/>
    <col min="15868" max="15868" width="5.1796875" style="247" bestFit="1" customWidth="1"/>
    <col min="15869" max="15869" width="5.6328125" style="247" bestFit="1" customWidth="1"/>
    <col min="15870" max="15870" width="6.1796875" style="247" bestFit="1" customWidth="1"/>
    <col min="15871" max="15871" width="4.81640625" style="247" bestFit="1" customWidth="1"/>
    <col min="15872" max="15872" width="9.1796875" style="247" customWidth="1"/>
    <col min="15873" max="15873" width="7" style="247" customWidth="1"/>
    <col min="15874" max="15874" width="8.81640625" style="247"/>
    <col min="15875" max="15875" width="4.453125" style="247" bestFit="1" customWidth="1"/>
    <col min="15876" max="15876" width="4.6328125" style="247" customWidth="1"/>
    <col min="15877" max="15877" width="8.81640625" style="247"/>
    <col min="15878" max="15878" width="5.453125" style="247" bestFit="1" customWidth="1"/>
    <col min="15879" max="15879" width="5.36328125" style="247" bestFit="1" customWidth="1"/>
    <col min="15880" max="15880" width="5" style="247" bestFit="1" customWidth="1"/>
    <col min="15881" max="15881" width="4.6328125" style="247" bestFit="1" customWidth="1"/>
    <col min="15882" max="15882" width="5.1796875" style="247" customWidth="1"/>
    <col min="15883" max="15883" width="8.6328125" style="247" bestFit="1" customWidth="1"/>
    <col min="15884" max="15884" width="9.453125" style="247" bestFit="1" customWidth="1"/>
    <col min="15885" max="15885" width="8.81640625" style="247"/>
    <col min="15886" max="15886" width="9.81640625" style="247" bestFit="1" customWidth="1"/>
    <col min="15887" max="16084" width="8.81640625" style="247"/>
    <col min="16085" max="16085" width="14.1796875" style="247" bestFit="1" customWidth="1"/>
    <col min="16086" max="16086" width="15.453125" style="247" bestFit="1" customWidth="1"/>
    <col min="16087" max="16087" width="12.453125" style="247" bestFit="1" customWidth="1"/>
    <col min="16088" max="16088" width="6" style="247" bestFit="1" customWidth="1"/>
    <col min="16089" max="16089" width="4.81640625" style="247" bestFit="1" customWidth="1"/>
    <col min="16090" max="16090" width="6.453125" style="247" bestFit="1" customWidth="1"/>
    <col min="16091" max="16091" width="5.36328125" style="247" bestFit="1" customWidth="1"/>
    <col min="16092" max="16092" width="5.6328125" style="247" bestFit="1" customWidth="1"/>
    <col min="16093" max="16093" width="8.81640625" style="247"/>
    <col min="16094" max="16094" width="10.1796875" style="247" bestFit="1" customWidth="1"/>
    <col min="16095" max="16095" width="8.81640625" style="247"/>
    <col min="16096" max="16096" width="9.1796875" style="247" customWidth="1"/>
    <col min="16097" max="16097" width="8.81640625" style="247"/>
    <col min="16098" max="16098" width="4.453125" style="247" bestFit="1" customWidth="1"/>
    <col min="16099" max="16099" width="8.81640625" style="247"/>
    <col min="16100" max="16100" width="9.81640625" style="247" bestFit="1" customWidth="1"/>
    <col min="16101" max="16101" width="8" style="247" bestFit="1" customWidth="1"/>
    <col min="16102" max="16102" width="8.6328125" style="247" customWidth="1"/>
    <col min="16103" max="16103" width="8.81640625" style="247"/>
    <col min="16104" max="16105" width="9.1796875" style="247" customWidth="1"/>
    <col min="16106" max="16106" width="8.81640625" style="247"/>
    <col min="16107" max="16107" width="9.1796875" style="247" customWidth="1"/>
    <col min="16108" max="16108" width="8.81640625" style="247"/>
    <col min="16109" max="16109" width="9.1796875" style="247" customWidth="1"/>
    <col min="16110" max="16110" width="8.81640625" style="247"/>
    <col min="16111" max="16111" width="9.1796875" style="247" customWidth="1"/>
    <col min="16112" max="16112" width="8.81640625" style="247"/>
    <col min="16113" max="16113" width="9.1796875" style="247" customWidth="1"/>
    <col min="16114" max="16114" width="8.81640625" style="247"/>
    <col min="16115" max="16115" width="9.1796875" style="247" customWidth="1"/>
    <col min="16116" max="16116" width="8.81640625" style="247"/>
    <col min="16117" max="16117" width="9.1796875" style="247" customWidth="1"/>
    <col min="16118" max="16118" width="8.81640625" style="247"/>
    <col min="16119" max="16119" width="9.1796875" style="247" customWidth="1"/>
    <col min="16120" max="16120" width="8.81640625" style="247"/>
    <col min="16121" max="16121" width="9.1796875" style="247" customWidth="1"/>
    <col min="16122" max="16122" width="8" style="247" bestFit="1" customWidth="1"/>
    <col min="16123" max="16123" width="8.6328125" style="247" bestFit="1" customWidth="1"/>
    <col min="16124" max="16124" width="5.1796875" style="247" bestFit="1" customWidth="1"/>
    <col min="16125" max="16125" width="5.6328125" style="247" bestFit="1" customWidth="1"/>
    <col min="16126" max="16126" width="6.1796875" style="247" bestFit="1" customWidth="1"/>
    <col min="16127" max="16127" width="4.81640625" style="247" bestFit="1" customWidth="1"/>
    <col min="16128" max="16128" width="9.1796875" style="247" customWidth="1"/>
    <col min="16129" max="16129" width="7" style="247" customWidth="1"/>
    <col min="16130" max="16130" width="8.81640625" style="247"/>
    <col min="16131" max="16131" width="4.453125" style="247" bestFit="1" customWidth="1"/>
    <col min="16132" max="16132" width="4.6328125" style="247" customWidth="1"/>
    <col min="16133" max="16133" width="8.81640625" style="247"/>
    <col min="16134" max="16134" width="5.453125" style="247" bestFit="1" customWidth="1"/>
    <col min="16135" max="16135" width="5.36328125" style="247" bestFit="1" customWidth="1"/>
    <col min="16136" max="16136" width="5" style="247" bestFit="1" customWidth="1"/>
    <col min="16137" max="16137" width="4.6328125" style="247" bestFit="1" customWidth="1"/>
    <col min="16138" max="16138" width="5.1796875" style="247" customWidth="1"/>
    <col min="16139" max="16139" width="8.6328125" style="247" bestFit="1" customWidth="1"/>
    <col min="16140" max="16140" width="9.453125" style="247" bestFit="1" customWidth="1"/>
    <col min="16141" max="16141" width="8.81640625" style="247"/>
    <col min="16142" max="16142" width="9.81640625" style="247" bestFit="1" customWidth="1"/>
    <col min="16143" max="16384" width="8.81640625" style="247"/>
  </cols>
  <sheetData>
    <row r="1" spans="1:22" s="304" customFormat="1">
      <c r="G1" s="266"/>
      <c r="H1" s="266"/>
      <c r="O1" s="266"/>
      <c r="P1" s="266"/>
      <c r="Q1" s="266"/>
      <c r="R1" s="266"/>
      <c r="S1" s="266"/>
      <c r="T1" s="266"/>
    </row>
    <row r="2" spans="1:22" s="304" customFormat="1">
      <c r="G2" s="266"/>
      <c r="H2" s="266"/>
      <c r="O2" s="266"/>
      <c r="P2" s="266"/>
      <c r="Q2" s="266"/>
      <c r="R2" s="266"/>
      <c r="S2" s="266"/>
      <c r="T2" s="266"/>
    </row>
    <row r="3" spans="1:22" s="304" customFormat="1">
      <c r="G3" s="266"/>
      <c r="H3" s="266"/>
      <c r="O3" s="266"/>
      <c r="P3" s="266"/>
      <c r="Q3" s="266"/>
      <c r="R3" s="266"/>
      <c r="S3" s="266"/>
      <c r="T3" s="266"/>
    </row>
    <row r="4" spans="1:22" s="304" customFormat="1">
      <c r="G4" s="266"/>
      <c r="H4" s="266"/>
      <c r="O4" s="266"/>
      <c r="P4" s="266"/>
      <c r="Q4" s="266"/>
      <c r="R4" s="266"/>
      <c r="S4" s="266"/>
      <c r="T4" s="266"/>
    </row>
    <row r="5" spans="1:22" s="304" customFormat="1">
      <c r="G5" s="266"/>
      <c r="H5" s="266"/>
      <c r="O5" s="266"/>
      <c r="P5" s="266"/>
      <c r="Q5" s="266"/>
      <c r="R5" s="266"/>
      <c r="S5" s="266"/>
      <c r="T5" s="266"/>
    </row>
    <row r="6" spans="1:22" s="304" customFormat="1">
      <c r="G6" s="266"/>
      <c r="H6" s="266"/>
      <c r="O6" s="266"/>
      <c r="P6" s="266"/>
      <c r="Q6" s="266"/>
      <c r="R6" s="266"/>
      <c r="S6" s="266"/>
      <c r="T6" s="266"/>
    </row>
    <row r="7" spans="1:22" s="304" customFormat="1">
      <c r="G7" s="266"/>
      <c r="H7" s="266"/>
      <c r="O7" s="266"/>
      <c r="P7" s="266"/>
      <c r="Q7" s="266"/>
      <c r="R7" s="266"/>
      <c r="S7" s="266"/>
      <c r="T7" s="266"/>
    </row>
    <row r="8" spans="1:22" s="400" customFormat="1" ht="15.6">
      <c r="A8" s="391" t="s">
        <v>229</v>
      </c>
      <c r="B8" s="400" t="s">
        <v>239</v>
      </c>
      <c r="G8" s="401"/>
      <c r="H8" s="401"/>
      <c r="O8" s="401"/>
      <c r="P8" s="401"/>
      <c r="Q8" s="401"/>
      <c r="R8" s="401"/>
      <c r="S8" s="401"/>
      <c r="T8" s="401"/>
    </row>
    <row r="9" spans="1:22" s="304" customFormat="1">
      <c r="G9" s="266"/>
      <c r="H9" s="266"/>
      <c r="O9" s="266"/>
      <c r="P9" s="266"/>
      <c r="Q9" s="266"/>
      <c r="R9" s="266"/>
      <c r="S9" s="266"/>
      <c r="T9" s="266"/>
    </row>
    <row r="10" spans="1:22" s="304" customFormat="1">
      <c r="G10" s="266"/>
      <c r="H10" s="266"/>
      <c r="O10" s="266"/>
      <c r="P10" s="266"/>
      <c r="Q10" s="266"/>
      <c r="R10" s="266"/>
      <c r="S10" s="266"/>
      <c r="T10" s="266"/>
    </row>
    <row r="11" spans="1:22" s="304" customFormat="1">
      <c r="A11" s="7" t="s">
        <v>151</v>
      </c>
      <c r="G11" s="266"/>
      <c r="H11" s="266"/>
      <c r="O11" s="266"/>
      <c r="P11" s="266"/>
      <c r="Q11" s="266"/>
      <c r="R11" s="266"/>
      <c r="S11" s="266"/>
      <c r="T11" s="266"/>
    </row>
    <row r="12" spans="1:22" s="304" customFormat="1">
      <c r="A12" s="399" t="s">
        <v>79</v>
      </c>
      <c r="G12" s="266"/>
      <c r="H12" s="266"/>
      <c r="O12" s="266"/>
      <c r="P12" s="266"/>
      <c r="Q12" s="266"/>
      <c r="R12" s="266"/>
      <c r="S12" s="266"/>
      <c r="T12" s="266"/>
    </row>
    <row r="13" spans="1:22" s="304" customFormat="1">
      <c r="G13" s="266"/>
      <c r="H13" s="266"/>
      <c r="O13" s="266"/>
      <c r="P13" s="266"/>
      <c r="Q13" s="266"/>
      <c r="R13" s="266"/>
      <c r="S13" s="266"/>
      <c r="T13" s="266"/>
    </row>
    <row r="14" spans="1:22" ht="16.2" thickBot="1">
      <c r="A14" s="304"/>
      <c r="B14" s="244" t="s">
        <v>113</v>
      </c>
      <c r="C14" s="244" t="s">
        <v>114</v>
      </c>
      <c r="D14" s="407" t="s">
        <v>115</v>
      </c>
      <c r="E14" s="305"/>
      <c r="F14" s="244" t="s">
        <v>116</v>
      </c>
      <c r="G14" s="246" t="s">
        <v>117</v>
      </c>
      <c r="H14" s="267" t="s">
        <v>120</v>
      </c>
      <c r="I14" s="245" t="s">
        <v>118</v>
      </c>
      <c r="J14" s="244" t="s">
        <v>121</v>
      </c>
      <c r="K14" s="244" t="s">
        <v>123</v>
      </c>
      <c r="L14" s="244" t="s">
        <v>127</v>
      </c>
      <c r="M14" s="244" t="s">
        <v>125</v>
      </c>
      <c r="N14" s="245"/>
      <c r="O14" s="409" t="s">
        <v>44</v>
      </c>
      <c r="P14" s="409" t="s">
        <v>119</v>
      </c>
      <c r="Q14" s="409" t="s">
        <v>122</v>
      </c>
      <c r="R14" s="409" t="s">
        <v>124</v>
      </c>
      <c r="S14" s="409" t="s">
        <v>126</v>
      </c>
      <c r="T14" s="409" t="s">
        <v>128</v>
      </c>
    </row>
    <row r="15" spans="1:22" s="251" customFormat="1" ht="13.8" thickBot="1">
      <c r="A15" s="244" t="s">
        <v>112</v>
      </c>
      <c r="B15" s="249"/>
      <c r="C15" s="249"/>
      <c r="D15" s="408"/>
      <c r="E15" s="306"/>
      <c r="G15" s="252"/>
      <c r="H15" s="268"/>
      <c r="I15" s="250"/>
      <c r="J15" s="249"/>
      <c r="K15" s="249"/>
      <c r="L15" s="249"/>
      <c r="M15" s="249"/>
      <c r="N15" s="250"/>
      <c r="O15" s="410"/>
      <c r="P15" s="411"/>
      <c r="Q15" s="411"/>
      <c r="R15" s="411"/>
      <c r="S15" s="411"/>
      <c r="T15" s="411"/>
    </row>
    <row r="16" spans="1:22" s="283" customFormat="1" ht="14.4" thickBot="1">
      <c r="A16" s="248" t="s">
        <v>129</v>
      </c>
      <c r="B16" s="278">
        <v>79.5</v>
      </c>
      <c r="C16" s="278">
        <v>80</v>
      </c>
      <c r="D16" s="403">
        <v>79.75</v>
      </c>
      <c r="E16" s="307"/>
      <c r="F16" s="279">
        <v>6.4013580279999998</v>
      </c>
      <c r="G16" s="279">
        <v>5.2381608897857141</v>
      </c>
      <c r="H16" s="280">
        <v>0</v>
      </c>
      <c r="I16" s="281">
        <v>129.77340000000001</v>
      </c>
      <c r="J16" s="281">
        <v>119.64700000000001</v>
      </c>
      <c r="K16" s="282">
        <v>1.3140000000000001</v>
      </c>
      <c r="L16" s="282">
        <v>1.476</v>
      </c>
      <c r="M16" s="281">
        <v>26.097000000000001</v>
      </c>
      <c r="N16" s="281"/>
      <c r="O16" s="412">
        <v>0.8182890047508079</v>
      </c>
      <c r="P16" s="412">
        <v>20.272792028248045</v>
      </c>
      <c r="Q16" s="412">
        <v>18.690877697615949</v>
      </c>
      <c r="R16" s="412">
        <v>0.2052689435979787</v>
      </c>
      <c r="S16" s="412">
        <v>4.0767911880338277</v>
      </c>
      <c r="T16" s="412">
        <v>0.2305760736306062</v>
      </c>
      <c r="V16" s="284"/>
    </row>
    <row r="17" spans="1:22" s="290" customFormat="1" ht="13.8">
      <c r="A17" s="277">
        <v>1361</v>
      </c>
      <c r="B17" s="255">
        <v>84.5</v>
      </c>
      <c r="C17" s="255">
        <v>85</v>
      </c>
      <c r="D17" s="404">
        <v>84.75</v>
      </c>
      <c r="E17" s="308"/>
      <c r="F17" s="286">
        <v>6.5551552040000001</v>
      </c>
      <c r="G17" s="286">
        <v>5.0949284277857139</v>
      </c>
      <c r="H17" s="287">
        <v>0</v>
      </c>
      <c r="I17" s="288">
        <v>132.06479999999999</v>
      </c>
      <c r="J17" s="288">
        <v>118.526</v>
      </c>
      <c r="K17" s="289">
        <v>1.5</v>
      </c>
      <c r="L17" s="289">
        <v>1.496</v>
      </c>
      <c r="M17" s="288">
        <v>12.231999999999999</v>
      </c>
      <c r="N17" s="288"/>
      <c r="O17" s="413">
        <v>0.77723993852605566</v>
      </c>
      <c r="P17" s="413">
        <v>20.146708337189814</v>
      </c>
      <c r="Q17" s="413">
        <v>18.081341526082348</v>
      </c>
      <c r="R17" s="413">
        <v>0.22882753395139901</v>
      </c>
      <c r="S17" s="413">
        <v>1.8660122635290084</v>
      </c>
      <c r="T17" s="413">
        <v>0.2282173271941953</v>
      </c>
      <c r="V17" s="291"/>
    </row>
    <row r="18" spans="1:22" s="290" customFormat="1" ht="13.8">
      <c r="A18" s="285">
        <v>1362</v>
      </c>
      <c r="B18" s="255">
        <v>89.5</v>
      </c>
      <c r="C18" s="255">
        <v>90</v>
      </c>
      <c r="D18" s="404">
        <v>89.75</v>
      </c>
      <c r="E18" s="308"/>
      <c r="F18" s="286">
        <v>7.1244645160000006</v>
      </c>
      <c r="G18" s="286">
        <v>5.7212000599285711</v>
      </c>
      <c r="H18" s="287">
        <v>0</v>
      </c>
      <c r="I18" s="288">
        <v>164.63339999999999</v>
      </c>
      <c r="J18" s="288">
        <v>115.648</v>
      </c>
      <c r="K18" s="289">
        <v>2.1560000000000001</v>
      </c>
      <c r="L18" s="289">
        <v>1.474</v>
      </c>
      <c r="M18" s="288">
        <v>10.073</v>
      </c>
      <c r="N18" s="288"/>
      <c r="O18" s="413">
        <v>0.80303579968431282</v>
      </c>
      <c r="P18" s="413">
        <v>23.108178815442077</v>
      </c>
      <c r="Q18" s="413">
        <v>16.232518211057084</v>
      </c>
      <c r="R18" s="413">
        <v>0.3026192347730966</v>
      </c>
      <c r="S18" s="413">
        <v>1.4138606455795</v>
      </c>
      <c r="T18" s="413">
        <v>0.20689274214079051</v>
      </c>
      <c r="V18" s="291"/>
    </row>
    <row r="19" spans="1:22" s="290" customFormat="1" ht="13.8">
      <c r="A19" s="285">
        <v>1363</v>
      </c>
      <c r="B19" s="255">
        <v>93.5</v>
      </c>
      <c r="C19" s="255">
        <v>94</v>
      </c>
      <c r="D19" s="404">
        <v>93.75</v>
      </c>
      <c r="E19" s="308"/>
      <c r="F19" s="286">
        <v>6.4971457199999998</v>
      </c>
      <c r="G19" s="286">
        <v>5.7022049560714283</v>
      </c>
      <c r="H19" s="287">
        <v>0</v>
      </c>
      <c r="I19" s="288">
        <v>137.11410000000001</v>
      </c>
      <c r="J19" s="288">
        <v>140.32400000000001</v>
      </c>
      <c r="K19" s="289">
        <v>1.3540000000000001</v>
      </c>
      <c r="L19" s="289">
        <v>1.5529999999999999</v>
      </c>
      <c r="M19" s="288">
        <v>11.881</v>
      </c>
      <c r="N19" s="288"/>
      <c r="O19" s="413">
        <v>0.87764769358927486</v>
      </c>
      <c r="P19" s="413">
        <v>21.103743999141827</v>
      </c>
      <c r="Q19" s="413">
        <v>21.597791714605414</v>
      </c>
      <c r="R19" s="413">
        <v>0.20839920456640151</v>
      </c>
      <c r="S19" s="413">
        <v>1.8286491502610165</v>
      </c>
      <c r="T19" s="413">
        <v>0.23902803891552551</v>
      </c>
      <c r="V19" s="291"/>
    </row>
    <row r="20" spans="1:22" s="290" customFormat="1" ht="13.8">
      <c r="A20" s="285">
        <v>1364</v>
      </c>
      <c r="B20" s="255">
        <v>95.5</v>
      </c>
      <c r="C20" s="255">
        <v>96</v>
      </c>
      <c r="D20" s="404">
        <v>95.75</v>
      </c>
      <c r="E20" s="308"/>
      <c r="F20" s="286">
        <v>6.9800095559999997</v>
      </c>
      <c r="G20" s="286">
        <v>5.7747503102142854</v>
      </c>
      <c r="H20" s="287">
        <v>0</v>
      </c>
      <c r="I20" s="288">
        <v>159.24710000000002</v>
      </c>
      <c r="J20" s="288">
        <v>153.18600000000001</v>
      </c>
      <c r="K20" s="289">
        <v>1.452</v>
      </c>
      <c r="L20" s="289">
        <v>1.754</v>
      </c>
      <c r="M20" s="288">
        <v>10.324999999999999</v>
      </c>
      <c r="N20" s="288"/>
      <c r="O20" s="413">
        <v>0.82732699201684101</v>
      </c>
      <c r="P20" s="413">
        <v>22.814739539018479</v>
      </c>
      <c r="Q20" s="413">
        <v>21.946388292308523</v>
      </c>
      <c r="R20" s="413">
        <v>0.20802263784178693</v>
      </c>
      <c r="S20" s="413">
        <v>1.4792243358928718</v>
      </c>
      <c r="T20" s="413">
        <v>0.25128905425240655</v>
      </c>
      <c r="V20" s="291"/>
    </row>
    <row r="21" spans="1:22" s="290" customFormat="1" ht="13.8">
      <c r="A21" s="285">
        <v>1365</v>
      </c>
      <c r="B21" s="255">
        <v>97.5</v>
      </c>
      <c r="C21" s="255">
        <v>98</v>
      </c>
      <c r="D21" s="404">
        <v>97.75</v>
      </c>
      <c r="E21" s="308"/>
      <c r="F21" s="286">
        <v>5.7517867679999997</v>
      </c>
      <c r="G21" s="286">
        <v>4.5628949245714283</v>
      </c>
      <c r="H21" s="287">
        <v>0</v>
      </c>
      <c r="I21" s="288">
        <v>115.3381</v>
      </c>
      <c r="J21" s="288">
        <v>150.65799999999999</v>
      </c>
      <c r="K21" s="289">
        <v>1.69</v>
      </c>
      <c r="L21" s="289">
        <v>1.7789999999999999</v>
      </c>
      <c r="M21" s="288">
        <v>7.226</v>
      </c>
      <c r="N21" s="288"/>
      <c r="O21" s="413">
        <v>0.79330043143411411</v>
      </c>
      <c r="P21" s="413">
        <v>20.05256881942881</v>
      </c>
      <c r="Q21" s="413">
        <v>26.193251954016109</v>
      </c>
      <c r="R21" s="413">
        <v>0.29382174064627981</v>
      </c>
      <c r="S21" s="413">
        <v>1.2563052650355135</v>
      </c>
      <c r="T21" s="413">
        <v>0.30929519326019633</v>
      </c>
      <c r="V21" s="291"/>
    </row>
    <row r="22" spans="1:22" s="290" customFormat="1" ht="13.8">
      <c r="A22" s="285">
        <v>1366</v>
      </c>
      <c r="B22" s="256">
        <v>100.5</v>
      </c>
      <c r="C22" s="256">
        <v>101</v>
      </c>
      <c r="D22" s="404">
        <v>100.75</v>
      </c>
      <c r="E22" s="308"/>
      <c r="F22" s="286">
        <v>5.8983031640000005</v>
      </c>
      <c r="G22" s="286">
        <v>4.8110717219999986</v>
      </c>
      <c r="H22" s="287">
        <v>0</v>
      </c>
      <c r="I22" s="288">
        <v>144.20320000000001</v>
      </c>
      <c r="J22" s="288">
        <v>124.146</v>
      </c>
      <c r="K22" s="289">
        <v>2.1859999999999999</v>
      </c>
      <c r="L22" s="289">
        <v>4.4000000000000004</v>
      </c>
      <c r="M22" s="288">
        <v>7.4589999999999996</v>
      </c>
      <c r="N22" s="288"/>
      <c r="O22" s="413">
        <v>0.81567047135931148</v>
      </c>
      <c r="P22" s="413">
        <v>24.448251639579507</v>
      </c>
      <c r="Q22" s="413">
        <v>21.047748233376495</v>
      </c>
      <c r="R22" s="413">
        <v>0.37061506321718796</v>
      </c>
      <c r="S22" s="413">
        <v>1.2646009865219601</v>
      </c>
      <c r="T22" s="413">
        <v>0.74597725441702978</v>
      </c>
      <c r="V22" s="291"/>
    </row>
    <row r="23" spans="1:22" s="290" customFormat="1" ht="13.8">
      <c r="A23" s="285">
        <v>1367</v>
      </c>
      <c r="B23" s="256">
        <v>101.5</v>
      </c>
      <c r="C23" s="256">
        <v>102</v>
      </c>
      <c r="D23" s="404">
        <v>101.75</v>
      </c>
      <c r="E23" s="308"/>
      <c r="F23" s="286">
        <v>5.691629164000001</v>
      </c>
      <c r="G23" s="286">
        <v>4.0311556866428573</v>
      </c>
      <c r="H23" s="287">
        <v>0</v>
      </c>
      <c r="I23" s="288">
        <v>131.52549999999999</v>
      </c>
      <c r="J23" s="288">
        <v>118.86199999999999</v>
      </c>
      <c r="K23" s="289">
        <v>1.5569999999999999</v>
      </c>
      <c r="L23" s="289">
        <v>3.9910000000000001</v>
      </c>
      <c r="M23" s="288">
        <v>4.468</v>
      </c>
      <c r="N23" s="288"/>
      <c r="O23" s="413">
        <v>0.70826042429823644</v>
      </c>
      <c r="P23" s="413">
        <v>23.108585645724965</v>
      </c>
      <c r="Q23" s="413">
        <v>20.883651512612843</v>
      </c>
      <c r="R23" s="413">
        <v>0.27355963558696805</v>
      </c>
      <c r="S23" s="413">
        <v>0.78501249312946264</v>
      </c>
      <c r="T23" s="413">
        <v>0.70120520592651869</v>
      </c>
      <c r="V23" s="291"/>
    </row>
    <row r="24" spans="1:22" s="290" customFormat="1" ht="13.8">
      <c r="A24" s="285">
        <v>1368</v>
      </c>
      <c r="B24" s="256">
        <v>102.5</v>
      </c>
      <c r="C24" s="256">
        <v>103</v>
      </c>
      <c r="D24" s="404">
        <v>102.75</v>
      </c>
      <c r="E24" s="308"/>
      <c r="F24" s="286">
        <v>4.1601465724000004</v>
      </c>
      <c r="G24" s="286">
        <v>2.7479613428571423</v>
      </c>
      <c r="H24" s="287">
        <v>0</v>
      </c>
      <c r="I24" s="288">
        <v>100</v>
      </c>
      <c r="J24" s="288">
        <v>83.358000000000004</v>
      </c>
      <c r="K24" s="289">
        <v>1.5009999999999999</v>
      </c>
      <c r="L24" s="289">
        <v>3.2229999999999999</v>
      </c>
      <c r="M24" s="288">
        <v>2.8980000000000001</v>
      </c>
      <c r="N24" s="288"/>
      <c r="O24" s="413">
        <v>0.66054435703976544</v>
      </c>
      <c r="P24" s="413">
        <v>24.037614603158012</v>
      </c>
      <c r="Q24" s="413">
        <v>20.037274780900457</v>
      </c>
      <c r="R24" s="413">
        <v>0.36080459519340174</v>
      </c>
      <c r="S24" s="413">
        <v>0.69661007119951923</v>
      </c>
      <c r="T24" s="413">
        <v>0.77473231865978265</v>
      </c>
      <c r="V24" s="291"/>
    </row>
    <row r="25" spans="1:22" s="290" customFormat="1" ht="13.8">
      <c r="A25" s="285">
        <v>1369</v>
      </c>
      <c r="B25" s="256">
        <v>103.5</v>
      </c>
      <c r="C25" s="256">
        <v>104</v>
      </c>
      <c r="D25" s="404">
        <v>103.75</v>
      </c>
      <c r="E25" s="308"/>
      <c r="F25" s="286">
        <v>4.2522649936000008</v>
      </c>
      <c r="G25" s="286">
        <v>2.9644605599999996</v>
      </c>
      <c r="H25" s="287">
        <v>0</v>
      </c>
      <c r="I25" s="288">
        <v>100</v>
      </c>
      <c r="J25" s="288">
        <v>88.299000000000007</v>
      </c>
      <c r="K25" s="289">
        <v>1.298</v>
      </c>
      <c r="L25" s="289">
        <v>2.702</v>
      </c>
      <c r="M25" s="288">
        <v>3.226</v>
      </c>
      <c r="N25" s="288"/>
      <c r="O25" s="413">
        <v>0.69714859362286918</v>
      </c>
      <c r="P25" s="413">
        <v>23.516878687125097</v>
      </c>
      <c r="Q25" s="413">
        <v>20.765168711944593</v>
      </c>
      <c r="R25" s="413">
        <v>0.30524908535888379</v>
      </c>
      <c r="S25" s="413">
        <v>0.75865450644665566</v>
      </c>
      <c r="T25" s="413">
        <v>0.63542606212612018</v>
      </c>
      <c r="V25" s="291"/>
    </row>
    <row r="26" spans="1:22" s="290" customFormat="1" ht="13.8">
      <c r="A26" s="285">
        <v>1370</v>
      </c>
      <c r="B26" s="256">
        <v>104.5</v>
      </c>
      <c r="C26" s="256">
        <v>105</v>
      </c>
      <c r="D26" s="404">
        <v>104.75</v>
      </c>
      <c r="E26" s="308"/>
      <c r="F26" s="286">
        <v>4.4192757804000005</v>
      </c>
      <c r="G26" s="286">
        <v>3.4032141597857142</v>
      </c>
      <c r="H26" s="287">
        <v>0</v>
      </c>
      <c r="I26" s="288">
        <v>106.93</v>
      </c>
      <c r="J26" s="288">
        <v>84.947000000000003</v>
      </c>
      <c r="K26" s="289">
        <v>1.8959999999999999</v>
      </c>
      <c r="L26" s="289">
        <v>2.343</v>
      </c>
      <c r="M26" s="288">
        <v>3.278</v>
      </c>
      <c r="N26" s="288"/>
      <c r="O26" s="413">
        <v>0.77008413344090509</v>
      </c>
      <c r="P26" s="413">
        <v>24.196272265751535</v>
      </c>
      <c r="Q26" s="413">
        <v>19.221927804720806</v>
      </c>
      <c r="R26" s="413">
        <v>0.42902957276596754</v>
      </c>
      <c r="S26" s="413">
        <v>0.74175049553103456</v>
      </c>
      <c r="T26" s="413">
        <v>0.53017736761110867</v>
      </c>
      <c r="V26" s="291"/>
    </row>
    <row r="27" spans="1:22" s="260" customFormat="1" ht="13.8">
      <c r="A27" s="285">
        <v>1371</v>
      </c>
      <c r="B27" s="256">
        <v>105.5</v>
      </c>
      <c r="C27" s="256">
        <v>106</v>
      </c>
      <c r="D27" s="405">
        <v>105.75</v>
      </c>
      <c r="E27" s="309"/>
      <c r="F27" s="258">
        <v>4.0106620527999999</v>
      </c>
      <c r="G27" s="258">
        <v>2.8519297827857137</v>
      </c>
      <c r="H27" s="269">
        <v>0</v>
      </c>
      <c r="I27" s="259">
        <v>134.40290000000002</v>
      </c>
      <c r="J27" s="259">
        <v>82.683999999999997</v>
      </c>
      <c r="K27" s="257">
        <v>1.6859999999999999</v>
      </c>
      <c r="L27" s="257">
        <v>2.5139999999999998</v>
      </c>
      <c r="M27" s="259">
        <v>2.9159999999999999</v>
      </c>
      <c r="N27" s="259"/>
      <c r="O27" s="414">
        <v>0.71108703382142857</v>
      </c>
      <c r="P27" s="414">
        <v>33.511399921159672</v>
      </c>
      <c r="Q27" s="414">
        <v>20.616047652849499</v>
      </c>
      <c r="R27" s="414">
        <v>0.42037947296580064</v>
      </c>
      <c r="S27" s="414">
        <v>0.7270620066241249</v>
      </c>
      <c r="T27" s="414">
        <v>0.62682917855042863</v>
      </c>
      <c r="V27" s="261"/>
    </row>
    <row r="28" spans="1:22" s="290" customFormat="1" ht="13.8">
      <c r="A28" s="292">
        <v>1372</v>
      </c>
      <c r="B28" s="262">
        <v>106.5</v>
      </c>
      <c r="C28" s="262">
        <v>107</v>
      </c>
      <c r="D28" s="404">
        <v>106.75</v>
      </c>
      <c r="E28" s="308"/>
      <c r="F28" s="286">
        <v>4.7222740239999998</v>
      </c>
      <c r="G28" s="286">
        <v>3.1688451122142856</v>
      </c>
      <c r="H28" s="287">
        <v>0</v>
      </c>
      <c r="I28" s="288">
        <v>241.9528</v>
      </c>
      <c r="J28" s="288">
        <v>88.153000000000006</v>
      </c>
      <c r="K28" s="289">
        <v>1.796</v>
      </c>
      <c r="L28" s="289">
        <v>2.613</v>
      </c>
      <c r="M28" s="288">
        <v>2.8260000000000001</v>
      </c>
      <c r="N28" s="288"/>
      <c r="O28" s="413">
        <v>0.67104219198404691</v>
      </c>
      <c r="P28" s="413">
        <v>51.236501475840662</v>
      </c>
      <c r="Q28" s="413">
        <v>18.667489339242124</v>
      </c>
      <c r="R28" s="413">
        <v>0.38032523967736609</v>
      </c>
      <c r="S28" s="413">
        <v>0.59844049405803823</v>
      </c>
      <c r="T28" s="413">
        <v>0.55333510650164675</v>
      </c>
      <c r="V28" s="291"/>
    </row>
    <row r="29" spans="1:22" s="290" customFormat="1" ht="13.8">
      <c r="A29" s="285">
        <v>1373</v>
      </c>
      <c r="B29" s="256">
        <v>107.5</v>
      </c>
      <c r="C29" s="256">
        <v>108</v>
      </c>
      <c r="D29" s="404">
        <v>107.75</v>
      </c>
      <c r="E29" s="308"/>
      <c r="F29" s="286">
        <v>4.3167464339999997</v>
      </c>
      <c r="G29" s="286">
        <v>3.0852401980714284</v>
      </c>
      <c r="H29" s="287">
        <v>0</v>
      </c>
      <c r="I29" s="288">
        <v>356.79570000000001</v>
      </c>
      <c r="J29" s="288">
        <v>98.548000000000002</v>
      </c>
      <c r="K29" s="289">
        <v>1.5229999999999999</v>
      </c>
      <c r="L29" s="289">
        <v>2.6349999999999998</v>
      </c>
      <c r="M29" s="288">
        <v>2.573</v>
      </c>
      <c r="N29" s="288"/>
      <c r="O29" s="413">
        <v>0.7147142518659757</v>
      </c>
      <c r="P29" s="413">
        <v>82.653847163634452</v>
      </c>
      <c r="Q29" s="413">
        <v>22.829230650150347</v>
      </c>
      <c r="R29" s="413">
        <v>0.35281201323394668</v>
      </c>
      <c r="S29" s="413">
        <v>0.59605076168807924</v>
      </c>
      <c r="T29" s="413">
        <v>0.61041343064441855</v>
      </c>
      <c r="V29" s="291"/>
    </row>
    <row r="30" spans="1:22" s="290" customFormat="1" ht="13.8">
      <c r="A30" s="285">
        <v>1374</v>
      </c>
      <c r="B30" s="256">
        <v>108.5</v>
      </c>
      <c r="C30" s="256">
        <v>109</v>
      </c>
      <c r="D30" s="404">
        <v>108.75</v>
      </c>
      <c r="E30" s="308"/>
      <c r="F30" s="286">
        <v>4.0825433792000005</v>
      </c>
      <c r="G30" s="286">
        <v>2.5529082777857139</v>
      </c>
      <c r="H30" s="287">
        <v>0</v>
      </c>
      <c r="I30" s="288">
        <v>444.21269999999998</v>
      </c>
      <c r="J30" s="288">
        <v>101.78</v>
      </c>
      <c r="K30" s="289">
        <v>1.6459999999999999</v>
      </c>
      <c r="L30" s="289">
        <v>3.0169999999999999</v>
      </c>
      <c r="M30" s="288">
        <v>2.1110000000000002</v>
      </c>
      <c r="N30" s="288"/>
      <c r="O30" s="413">
        <v>0.62532300104695326</v>
      </c>
      <c r="P30" s="413">
        <v>108.80783343618658</v>
      </c>
      <c r="Q30" s="413">
        <v>24.930537301466327</v>
      </c>
      <c r="R30" s="413">
        <v>0.40318003928290008</v>
      </c>
      <c r="S30" s="413">
        <v>0.51707962510704875</v>
      </c>
      <c r="T30" s="413">
        <v>0.73900010845474462</v>
      </c>
      <c r="V30" s="291"/>
    </row>
    <row r="31" spans="1:22" s="260" customFormat="1" ht="13.8">
      <c r="A31" s="285">
        <v>1375</v>
      </c>
      <c r="B31" s="256">
        <v>109.5</v>
      </c>
      <c r="C31" s="256">
        <v>110</v>
      </c>
      <c r="D31" s="405">
        <v>109.75</v>
      </c>
      <c r="E31" s="309"/>
      <c r="F31" s="258">
        <v>4.1169043292000005</v>
      </c>
      <c r="G31" s="258">
        <v>2.5518562883571425</v>
      </c>
      <c r="H31" s="269">
        <v>0</v>
      </c>
      <c r="I31" s="259">
        <v>580</v>
      </c>
      <c r="J31" s="259">
        <v>90.531999999999996</v>
      </c>
      <c r="K31" s="257">
        <v>1.76</v>
      </c>
      <c r="L31" s="257">
        <v>2.9790000000000001</v>
      </c>
      <c r="M31" s="259">
        <v>1.9750000000000001</v>
      </c>
      <c r="N31" s="259"/>
      <c r="O31" s="414">
        <v>0.61984833367575998</v>
      </c>
      <c r="P31" s="414">
        <v>140.88255485711176</v>
      </c>
      <c r="Q31" s="414">
        <v>21.990309407455246</v>
      </c>
      <c r="R31" s="414">
        <v>0.42750568370433917</v>
      </c>
      <c r="S31" s="414">
        <v>0.47972938938413062</v>
      </c>
      <c r="T31" s="414">
        <v>0.72360194986092408</v>
      </c>
      <c r="V31" s="261"/>
    </row>
    <row r="32" spans="1:22" s="290" customFormat="1" ht="13.8">
      <c r="A32" s="292">
        <v>1376</v>
      </c>
      <c r="B32" s="262">
        <v>110.5</v>
      </c>
      <c r="C32" s="262">
        <v>111</v>
      </c>
      <c r="D32" s="404">
        <v>110.75</v>
      </c>
      <c r="E32" s="308"/>
      <c r="F32" s="286">
        <v>4.4611020843999993</v>
      </c>
      <c r="G32" s="286">
        <v>3.5639091587142859</v>
      </c>
      <c r="H32" s="287">
        <v>0.43336099600000005</v>
      </c>
      <c r="I32" s="288">
        <v>765.31139999999994</v>
      </c>
      <c r="J32" s="288">
        <v>113.393</v>
      </c>
      <c r="K32" s="288">
        <v>9.0467999999999993</v>
      </c>
      <c r="L32" s="289">
        <v>6.12</v>
      </c>
      <c r="M32" s="288">
        <v>16.23</v>
      </c>
      <c r="N32" s="288"/>
      <c r="O32" s="413">
        <v>0.79888536314308922</v>
      </c>
      <c r="P32" s="413">
        <v>171.55209307498538</v>
      </c>
      <c r="Q32" s="413">
        <v>25.418158530046487</v>
      </c>
      <c r="R32" s="413">
        <v>2.0279293835565206</v>
      </c>
      <c r="S32" s="413">
        <v>3.6381144598225155</v>
      </c>
      <c r="T32" s="413">
        <v>1.3718583175670853</v>
      </c>
      <c r="V32" s="291"/>
    </row>
    <row r="33" spans="1:22" s="290" customFormat="1" ht="13.8">
      <c r="A33" s="285">
        <v>1377</v>
      </c>
      <c r="B33" s="256">
        <v>111.5</v>
      </c>
      <c r="C33" s="256">
        <v>112</v>
      </c>
      <c r="D33" s="404">
        <v>111.75</v>
      </c>
      <c r="E33" s="308"/>
      <c r="F33" s="286">
        <v>4.9317710728000002</v>
      </c>
      <c r="G33" s="286">
        <v>3.9524740928571425</v>
      </c>
      <c r="H33" s="287">
        <v>0.65748247999999998</v>
      </c>
      <c r="I33" s="288">
        <v>847.71440000000007</v>
      </c>
      <c r="J33" s="288">
        <v>109.52200000000001</v>
      </c>
      <c r="K33" s="288">
        <v>15.4305</v>
      </c>
      <c r="L33" s="289">
        <v>9.2149999999999999</v>
      </c>
      <c r="M33" s="288">
        <v>21.465</v>
      </c>
      <c r="N33" s="288"/>
      <c r="O33" s="413">
        <v>0.80143097368328076</v>
      </c>
      <c r="P33" s="413">
        <v>171.88843267185808</v>
      </c>
      <c r="Q33" s="413">
        <v>22.207437933208684</v>
      </c>
      <c r="R33" s="413">
        <v>3.1287948633916161</v>
      </c>
      <c r="S33" s="413">
        <v>4.3523918047179961</v>
      </c>
      <c r="T33" s="413">
        <v>1.8684971106674275</v>
      </c>
      <c r="V33" s="291"/>
    </row>
    <row r="34" spans="1:22" s="290" customFormat="1" ht="13.8">
      <c r="A34" s="285">
        <v>1378</v>
      </c>
      <c r="B34" s="256">
        <v>112.5</v>
      </c>
      <c r="C34" s="256">
        <v>113</v>
      </c>
      <c r="D34" s="404">
        <v>112.75</v>
      </c>
      <c r="E34" s="308"/>
      <c r="F34" s="286">
        <v>5.8146303279999998</v>
      </c>
      <c r="G34" s="286">
        <v>4.7261262992142852</v>
      </c>
      <c r="H34" s="287">
        <v>0.54503330800000005</v>
      </c>
      <c r="I34" s="288">
        <v>429.21420000000001</v>
      </c>
      <c r="J34" s="288">
        <v>132.03800000000001</v>
      </c>
      <c r="K34" s="288">
        <v>12.6837</v>
      </c>
      <c r="L34" s="289">
        <v>11.657999999999999</v>
      </c>
      <c r="M34" s="288">
        <v>21.8</v>
      </c>
      <c r="N34" s="288"/>
      <c r="O34" s="413">
        <v>0.81279910030667135</v>
      </c>
      <c r="P34" s="413">
        <v>73.816248976851554</v>
      </c>
      <c r="Q34" s="413">
        <v>22.707892428548558</v>
      </c>
      <c r="R34" s="413">
        <v>2.1813424559292121</v>
      </c>
      <c r="S34" s="413">
        <v>3.7491635358181625</v>
      </c>
      <c r="T34" s="413">
        <v>2.0049425917691805</v>
      </c>
      <c r="V34" s="291"/>
    </row>
    <row r="35" spans="1:22" s="290" customFormat="1" ht="13.8">
      <c r="A35" s="285">
        <v>1379</v>
      </c>
      <c r="B35" s="256">
        <v>113.5</v>
      </c>
      <c r="C35" s="256">
        <v>114</v>
      </c>
      <c r="D35" s="404">
        <v>113.75</v>
      </c>
      <c r="E35" s="308"/>
      <c r="F35" s="286">
        <v>6.238054159999999</v>
      </c>
      <c r="G35" s="286">
        <v>4.4791569141428571</v>
      </c>
      <c r="H35" s="287">
        <v>0.621800032</v>
      </c>
      <c r="I35" s="288">
        <v>237.28309999999999</v>
      </c>
      <c r="J35" s="288">
        <v>154.64400000000001</v>
      </c>
      <c r="K35" s="288">
        <v>15.069599999999999</v>
      </c>
      <c r="L35" s="289">
        <v>14.477</v>
      </c>
      <c r="M35" s="288">
        <v>26.027000000000001</v>
      </c>
      <c r="N35" s="288"/>
      <c r="O35" s="413">
        <v>0.71803751606780819</v>
      </c>
      <c r="P35" s="413">
        <v>38.037999336639302</v>
      </c>
      <c r="Q35" s="413">
        <v>24.790422787864994</v>
      </c>
      <c r="R35" s="413">
        <v>2.4157533124079196</v>
      </c>
      <c r="S35" s="413">
        <v>4.1722946502920397</v>
      </c>
      <c r="T35" s="413">
        <v>2.3207557402803958</v>
      </c>
      <c r="V35" s="291"/>
    </row>
    <row r="36" spans="1:22" s="290" customFormat="1" ht="13.8">
      <c r="A36" s="285">
        <v>1380</v>
      </c>
      <c r="B36" s="256">
        <v>114.5</v>
      </c>
      <c r="C36" s="256">
        <v>115</v>
      </c>
      <c r="D36" s="404">
        <v>114.75</v>
      </c>
      <c r="E36" s="308"/>
      <c r="F36" s="286">
        <v>5.4058564559999986</v>
      </c>
      <c r="G36" s="286">
        <v>4.0267171752857136</v>
      </c>
      <c r="H36" s="287">
        <v>0.74101774400000009</v>
      </c>
      <c r="I36" s="288">
        <v>209.93819999999999</v>
      </c>
      <c r="J36" s="288">
        <v>186.893</v>
      </c>
      <c r="K36" s="288">
        <v>18.776700000000002</v>
      </c>
      <c r="L36" s="289">
        <v>17.463000000000001</v>
      </c>
      <c r="M36" s="288">
        <v>24.992999999999999</v>
      </c>
      <c r="N36" s="288"/>
      <c r="O36" s="413">
        <v>0.74488052134947669</v>
      </c>
      <c r="P36" s="413">
        <v>38.835326411042246</v>
      </c>
      <c r="Q36" s="413">
        <v>34.572320134872641</v>
      </c>
      <c r="R36" s="413">
        <v>3.4733996643879821</v>
      </c>
      <c r="S36" s="413">
        <v>4.6233192100874394</v>
      </c>
      <c r="T36" s="413">
        <v>3.2303854425541938</v>
      </c>
      <c r="V36" s="291"/>
    </row>
    <row r="37" spans="1:22" s="290" customFormat="1" ht="13.8">
      <c r="A37" s="285">
        <v>1381</v>
      </c>
      <c r="B37" s="256">
        <v>115.5</v>
      </c>
      <c r="C37" s="256">
        <v>116</v>
      </c>
      <c r="D37" s="404">
        <v>115.75</v>
      </c>
      <c r="E37" s="308"/>
      <c r="F37" s="286">
        <v>5.0016427135999999</v>
      </c>
      <c r="G37" s="286">
        <v>3.9790839902142854</v>
      </c>
      <c r="H37" s="287">
        <v>0.72572979999999998</v>
      </c>
      <c r="I37" s="288">
        <v>185.98549999999997</v>
      </c>
      <c r="J37" s="288">
        <v>167.74799999999999</v>
      </c>
      <c r="K37" s="288">
        <v>12.954600000000001</v>
      </c>
      <c r="L37" s="289">
        <v>19.82</v>
      </c>
      <c r="M37" s="288">
        <v>22.18</v>
      </c>
      <c r="N37" s="288"/>
      <c r="O37" s="413">
        <v>0.79555542409991253</v>
      </c>
      <c r="P37" s="413">
        <v>37.18488317733803</v>
      </c>
      <c r="Q37" s="413">
        <v>33.538581143326226</v>
      </c>
      <c r="R37" s="413">
        <v>2.590069051668777</v>
      </c>
      <c r="S37" s="413">
        <v>4.4345430631600724</v>
      </c>
      <c r="T37" s="413">
        <v>3.962698084392815</v>
      </c>
      <c r="V37" s="291"/>
    </row>
    <row r="38" spans="1:22" s="290" customFormat="1" ht="13.8">
      <c r="A38" s="285">
        <v>1382</v>
      </c>
      <c r="B38" s="256">
        <v>116.5</v>
      </c>
      <c r="C38" s="256">
        <v>117</v>
      </c>
      <c r="D38" s="404">
        <v>116.75</v>
      </c>
      <c r="E38" s="308"/>
      <c r="F38" s="286">
        <v>3.9985822292000002</v>
      </c>
      <c r="G38" s="286">
        <v>3.1560037785000001</v>
      </c>
      <c r="H38" s="287">
        <v>0.81574495599999997</v>
      </c>
      <c r="I38" s="288">
        <v>573.89469999999994</v>
      </c>
      <c r="J38" s="288">
        <v>132.96899999999999</v>
      </c>
      <c r="K38" s="288">
        <v>17.198100000000004</v>
      </c>
      <c r="L38" s="289">
        <v>11.819000000000001</v>
      </c>
      <c r="M38" s="288">
        <v>24.605</v>
      </c>
      <c r="N38" s="288"/>
      <c r="O38" s="413">
        <v>0.78928069940715573</v>
      </c>
      <c r="P38" s="413">
        <v>143.52454622768118</v>
      </c>
      <c r="Q38" s="413">
        <v>33.254036650536314</v>
      </c>
      <c r="R38" s="413">
        <v>4.3010494755889619</v>
      </c>
      <c r="S38" s="413">
        <v>6.1534310387116244</v>
      </c>
      <c r="T38" s="413">
        <v>2.9557976609035843</v>
      </c>
      <c r="V38" s="291"/>
    </row>
    <row r="39" spans="1:22" s="290" customFormat="1" ht="13.8">
      <c r="A39" s="285">
        <v>1383</v>
      </c>
      <c r="B39" s="256">
        <v>118</v>
      </c>
      <c r="C39" s="256">
        <v>118.5</v>
      </c>
      <c r="D39" s="404">
        <v>118.25</v>
      </c>
      <c r="E39" s="308"/>
      <c r="F39" s="286">
        <v>4.1268953075999999</v>
      </c>
      <c r="G39" s="286">
        <v>3.7907150543571424</v>
      </c>
      <c r="H39" s="287">
        <v>1.325685816</v>
      </c>
      <c r="I39" s="288">
        <v>1001.2237</v>
      </c>
      <c r="J39" s="288">
        <v>149.12799999999999</v>
      </c>
      <c r="K39" s="288">
        <v>21.753000000000004</v>
      </c>
      <c r="L39" s="289">
        <v>14.103999999999999</v>
      </c>
      <c r="M39" s="288">
        <v>28.266999999999999</v>
      </c>
      <c r="N39" s="288"/>
      <c r="O39" s="413">
        <v>0.91853918546861235</v>
      </c>
      <c r="P39" s="413">
        <v>242.60942557863495</v>
      </c>
      <c r="Q39" s="413">
        <v>36.135639235957626</v>
      </c>
      <c r="R39" s="413">
        <v>5.2710326719314047</v>
      </c>
      <c r="S39" s="413">
        <v>6.849458949914264</v>
      </c>
      <c r="T39" s="413">
        <v>3.4175812441925491</v>
      </c>
      <c r="V39" s="291"/>
    </row>
    <row r="40" spans="1:22" s="290" customFormat="1" ht="13.8">
      <c r="A40" s="285">
        <v>1384</v>
      </c>
      <c r="B40" s="256">
        <v>118.5</v>
      </c>
      <c r="C40" s="256">
        <v>119</v>
      </c>
      <c r="D40" s="404">
        <v>118.75</v>
      </c>
      <c r="E40" s="308"/>
      <c r="F40" s="286">
        <v>4.9881664819999996</v>
      </c>
      <c r="G40" s="286">
        <v>4.3788714934285711</v>
      </c>
      <c r="H40" s="287">
        <v>1.0255162839999998</v>
      </c>
      <c r="I40" s="288">
        <v>1047.0577000000001</v>
      </c>
      <c r="J40" s="288">
        <v>141.03200000000001</v>
      </c>
      <c r="K40" s="288">
        <v>22.580099999999998</v>
      </c>
      <c r="L40" s="289">
        <v>14.629</v>
      </c>
      <c r="M40" s="288">
        <v>25.004999999999999</v>
      </c>
      <c r="N40" s="288"/>
      <c r="O40" s="413">
        <v>0.87785191397077578</v>
      </c>
      <c r="P40" s="413">
        <v>209.90833080217953</v>
      </c>
      <c r="Q40" s="413">
        <v>28.273314555342065</v>
      </c>
      <c r="R40" s="413">
        <v>4.5267334363199785</v>
      </c>
      <c r="S40" s="413">
        <v>5.0128639631879874</v>
      </c>
      <c r="T40" s="413">
        <v>2.9327409285133803</v>
      </c>
      <c r="V40" s="291"/>
    </row>
    <row r="41" spans="1:22" s="290" customFormat="1" ht="13.8">
      <c r="A41" s="285">
        <v>1385</v>
      </c>
      <c r="B41" s="256">
        <v>119.5</v>
      </c>
      <c r="C41" s="256">
        <v>120</v>
      </c>
      <c r="D41" s="404">
        <v>119.75</v>
      </c>
      <c r="E41" s="308"/>
      <c r="F41" s="286">
        <v>5.0123795800000002</v>
      </c>
      <c r="G41" s="286">
        <v>4.3334951194285711</v>
      </c>
      <c r="H41" s="287">
        <v>1.215707476</v>
      </c>
      <c r="I41" s="288">
        <v>626.77070000000003</v>
      </c>
      <c r="J41" s="288">
        <v>126.432</v>
      </c>
      <c r="K41" s="288">
        <v>24.1812</v>
      </c>
      <c r="L41" s="289">
        <v>11.065</v>
      </c>
      <c r="M41" s="288">
        <v>36.073</v>
      </c>
      <c r="N41" s="288"/>
      <c r="O41" s="413">
        <v>0.86455844978695151</v>
      </c>
      <c r="P41" s="413">
        <v>125.04454022215134</v>
      </c>
      <c r="Q41" s="413">
        <v>25.223947624493356</v>
      </c>
      <c r="R41" s="413">
        <v>4.8242954497073427</v>
      </c>
      <c r="S41" s="413">
        <v>7.1967813738479878</v>
      </c>
      <c r="T41" s="413">
        <v>2.2075343304307369</v>
      </c>
      <c r="V41" s="291"/>
    </row>
    <row r="42" spans="1:22" s="290" customFormat="1" ht="13.2">
      <c r="A42" s="285">
        <v>1386</v>
      </c>
      <c r="B42" s="256">
        <v>120.5</v>
      </c>
      <c r="C42" s="256">
        <v>121</v>
      </c>
      <c r="D42" s="404">
        <v>120.75</v>
      </c>
      <c r="E42" s="308"/>
      <c r="F42" s="286">
        <v>4.3477764668000001</v>
      </c>
      <c r="G42" s="286">
        <v>4.3750821884999995</v>
      </c>
      <c r="H42" s="287">
        <v>1.7278119799999998</v>
      </c>
      <c r="I42" s="288">
        <v>886.49619999999993</v>
      </c>
      <c r="J42" s="288">
        <v>141.51400000000001</v>
      </c>
      <c r="K42" s="288">
        <v>29.319299999999998</v>
      </c>
      <c r="L42" s="289">
        <v>14.644</v>
      </c>
      <c r="M42" s="288">
        <v>43.957000000000001</v>
      </c>
      <c r="N42" s="288"/>
      <c r="O42" s="413">
        <v>1.0062803876667783</v>
      </c>
      <c r="P42" s="413">
        <v>203.89645299599971</v>
      </c>
      <c r="Q42" s="413">
        <v>32.548591465226707</v>
      </c>
      <c r="R42" s="413">
        <v>6.743515961293026</v>
      </c>
      <c r="S42" s="413">
        <v>10.11022538432219</v>
      </c>
      <c r="T42" s="413">
        <v>3.3681584395662609</v>
      </c>
    </row>
    <row r="43" spans="1:22" s="290" customFormat="1" ht="13.2">
      <c r="A43" s="285">
        <v>1387</v>
      </c>
      <c r="B43" s="256">
        <v>121.5</v>
      </c>
      <c r="C43" s="256">
        <v>122</v>
      </c>
      <c r="D43" s="404">
        <v>121.75</v>
      </c>
      <c r="E43" s="308"/>
      <c r="F43" s="286">
        <v>4.5234791055999999</v>
      </c>
      <c r="G43" s="286">
        <v>4.7989532772857144</v>
      </c>
      <c r="H43" s="287">
        <v>1.4557114279999999</v>
      </c>
      <c r="I43" s="288">
        <v>960.99790000000007</v>
      </c>
      <c r="J43" s="288">
        <v>154.24799999999999</v>
      </c>
      <c r="K43" s="288">
        <v>32.990400000000001</v>
      </c>
      <c r="L43" s="289">
        <v>15.23</v>
      </c>
      <c r="M43" s="288">
        <v>44.773000000000003</v>
      </c>
      <c r="N43" s="288"/>
      <c r="O43" s="413">
        <v>1.0608987386157442</v>
      </c>
      <c r="P43" s="413">
        <v>212.44663179947023</v>
      </c>
      <c r="Q43" s="413">
        <v>34.099416930884736</v>
      </c>
      <c r="R43" s="413">
        <v>7.2931474269790204</v>
      </c>
      <c r="S43" s="413">
        <v>9.8979124153733125</v>
      </c>
      <c r="T43" s="413">
        <v>3.3668774950558493</v>
      </c>
    </row>
    <row r="44" spans="1:22" s="290" customFormat="1" ht="13.2">
      <c r="A44" s="285">
        <v>1388</v>
      </c>
      <c r="B44" s="256">
        <v>122.5</v>
      </c>
      <c r="C44" s="256">
        <v>123</v>
      </c>
      <c r="D44" s="404">
        <v>122.75</v>
      </c>
      <c r="E44" s="308"/>
      <c r="F44" s="286">
        <v>4.8362669576000004</v>
      </c>
      <c r="G44" s="286">
        <v>4.9411576707857137</v>
      </c>
      <c r="H44" s="287">
        <v>1.7611911599999999</v>
      </c>
      <c r="I44" s="288">
        <v>830.27760000000001</v>
      </c>
      <c r="J44" s="288">
        <v>132.875</v>
      </c>
      <c r="K44" s="288">
        <v>28.106100000000001</v>
      </c>
      <c r="L44" s="289">
        <v>14.635</v>
      </c>
      <c r="M44" s="288">
        <v>46.134</v>
      </c>
      <c r="N44" s="288"/>
      <c r="O44" s="413">
        <v>1.021688362967822</v>
      </c>
      <c r="P44" s="413">
        <v>171.67737167512061</v>
      </c>
      <c r="Q44" s="413">
        <v>27.47470335383208</v>
      </c>
      <c r="R44" s="413">
        <v>5.8115278264018055</v>
      </c>
      <c r="S44" s="413">
        <v>9.5391756502403702</v>
      </c>
      <c r="T44" s="413">
        <v>3.0260943261210347</v>
      </c>
    </row>
    <row r="45" spans="1:22" s="290" customFormat="1" ht="13.2">
      <c r="A45" s="285">
        <v>1389</v>
      </c>
      <c r="B45" s="256">
        <v>123.5</v>
      </c>
      <c r="C45" s="256">
        <v>124</v>
      </c>
      <c r="D45" s="404">
        <v>123.75</v>
      </c>
      <c r="E45" s="308"/>
      <c r="F45" s="286">
        <v>5.4033365360000003</v>
      </c>
      <c r="G45" s="286">
        <v>4.661661044142857</v>
      </c>
      <c r="H45" s="287">
        <v>1.223159632</v>
      </c>
      <c r="I45" s="288">
        <v>439.06239999999997</v>
      </c>
      <c r="J45" s="288">
        <v>134.81399999999999</v>
      </c>
      <c r="K45" s="288">
        <v>20.461500000000001</v>
      </c>
      <c r="L45" s="289">
        <v>12.829000000000001</v>
      </c>
      <c r="M45" s="288">
        <v>43.984000000000002</v>
      </c>
      <c r="N45" s="288"/>
      <c r="O45" s="413">
        <v>0.8627374980411282</v>
      </c>
      <c r="P45" s="413">
        <v>81.257644619157944</v>
      </c>
      <c r="Q45" s="413">
        <v>24.950139437326357</v>
      </c>
      <c r="R45" s="413">
        <v>3.7868268732984207</v>
      </c>
      <c r="S45" s="413">
        <v>8.1401555699805854</v>
      </c>
      <c r="T45" s="413">
        <v>2.374273731522393</v>
      </c>
    </row>
    <row r="46" spans="1:22" s="290" customFormat="1" ht="13.2">
      <c r="A46" s="285">
        <v>1390</v>
      </c>
      <c r="B46" s="256">
        <v>124.5</v>
      </c>
      <c r="C46" s="256">
        <v>125</v>
      </c>
      <c r="D46" s="404">
        <v>124.75</v>
      </c>
      <c r="E46" s="308"/>
      <c r="F46" s="286">
        <v>4.7174570976000005</v>
      </c>
      <c r="G46" s="286">
        <v>5.6131448147142864</v>
      </c>
      <c r="H46" s="287">
        <v>2.1640795279999998</v>
      </c>
      <c r="I46" s="288">
        <v>808.84550000000002</v>
      </c>
      <c r="J46" s="288">
        <v>150.88200000000001</v>
      </c>
      <c r="K46" s="288">
        <v>35.359200000000001</v>
      </c>
      <c r="L46" s="289">
        <v>14.571</v>
      </c>
      <c r="M46" s="288">
        <v>74.316999999999993</v>
      </c>
      <c r="N46" s="288"/>
      <c r="O46" s="413">
        <v>1.189866637593793</v>
      </c>
      <c r="P46" s="413">
        <v>171.45794508899698</v>
      </c>
      <c r="Q46" s="413">
        <v>31.983756688907889</v>
      </c>
      <c r="R46" s="413">
        <v>7.4953940795749778</v>
      </c>
      <c r="S46" s="413">
        <v>15.753614386405053</v>
      </c>
      <c r="T46" s="413">
        <v>3.0887403316106417</v>
      </c>
    </row>
    <row r="47" spans="1:22" s="290" customFormat="1" ht="13.2">
      <c r="A47" s="285">
        <v>1391</v>
      </c>
      <c r="B47" s="256">
        <v>125.5</v>
      </c>
      <c r="C47" s="256">
        <v>126</v>
      </c>
      <c r="D47" s="404">
        <v>125.75</v>
      </c>
      <c r="E47" s="308"/>
      <c r="F47" s="286">
        <v>4.6548952683999998</v>
      </c>
      <c r="G47" s="286">
        <v>6.1828997357142859</v>
      </c>
      <c r="H47" s="287">
        <v>2.2690252559999999</v>
      </c>
      <c r="I47" s="288">
        <v>848.8614</v>
      </c>
      <c r="J47" s="288">
        <v>152.38399999999999</v>
      </c>
      <c r="K47" s="288">
        <v>40.862699999999997</v>
      </c>
      <c r="L47" s="289">
        <v>15.436999999999999</v>
      </c>
      <c r="M47" s="288">
        <v>100</v>
      </c>
      <c r="N47" s="288"/>
      <c r="O47" s="413">
        <v>1.3282575394740295</v>
      </c>
      <c r="P47" s="413">
        <v>182.35886116762714</v>
      </c>
      <c r="Q47" s="413">
        <v>32.736289693662229</v>
      </c>
      <c r="R47" s="413">
        <v>8.7784359569588108</v>
      </c>
      <c r="S47" s="413">
        <v>21.482760456256713</v>
      </c>
      <c r="T47" s="413">
        <v>3.3162937316323489</v>
      </c>
    </row>
    <row r="48" spans="1:22" s="290" customFormat="1" ht="13.2">
      <c r="A48" s="285">
        <v>1392</v>
      </c>
      <c r="B48" s="256">
        <v>126.5</v>
      </c>
      <c r="C48" s="256">
        <v>127</v>
      </c>
      <c r="D48" s="404">
        <v>126.75</v>
      </c>
      <c r="E48" s="308"/>
      <c r="F48" s="286">
        <v>4.2075405007999995</v>
      </c>
      <c r="G48" s="286">
        <v>5.1089892240000001</v>
      </c>
      <c r="H48" s="287">
        <v>1.6364844120000002</v>
      </c>
      <c r="I48" s="288">
        <v>678.14299999999992</v>
      </c>
      <c r="J48" s="288">
        <v>188.38499999999999</v>
      </c>
      <c r="K48" s="288">
        <v>29.1357</v>
      </c>
      <c r="L48" s="289">
        <v>14.255000000000001</v>
      </c>
      <c r="M48" s="288">
        <v>124.569</v>
      </c>
      <c r="N48" s="288"/>
      <c r="O48" s="413">
        <v>1.2142460002532605</v>
      </c>
      <c r="P48" s="413">
        <v>161.17325546148905</v>
      </c>
      <c r="Q48" s="413">
        <v>44.773187557952554</v>
      </c>
      <c r="R48" s="413">
        <v>6.9246392267549872</v>
      </c>
      <c r="S48" s="413">
        <v>29.606132127858331</v>
      </c>
      <c r="T48" s="413">
        <v>3.3879650112196495</v>
      </c>
    </row>
    <row r="49" spans="1:22" s="290" customFormat="1" ht="13.2">
      <c r="A49" s="285">
        <v>1393</v>
      </c>
      <c r="B49" s="256">
        <v>127.5</v>
      </c>
      <c r="C49" s="256">
        <v>128</v>
      </c>
      <c r="D49" s="404">
        <v>127.75</v>
      </c>
      <c r="E49" s="308"/>
      <c r="F49" s="286">
        <v>5.0807080219999996</v>
      </c>
      <c r="G49" s="286">
        <v>4.4903183489999998</v>
      </c>
      <c r="H49" s="287">
        <v>1.217749108</v>
      </c>
      <c r="I49" s="288">
        <v>670.47140000000002</v>
      </c>
      <c r="J49" s="288">
        <v>307.85899999999998</v>
      </c>
      <c r="K49" s="288">
        <v>10.5921</v>
      </c>
      <c r="L49" s="289">
        <v>9.9</v>
      </c>
      <c r="M49" s="288">
        <v>60</v>
      </c>
      <c r="N49" s="288"/>
      <c r="O49" s="413">
        <v>0.88379775605219779</v>
      </c>
      <c r="P49" s="413">
        <v>131.96416662732602</v>
      </c>
      <c r="Q49" s="413">
        <v>60.59372014036984</v>
      </c>
      <c r="R49" s="413">
        <v>2.0847684917407365</v>
      </c>
      <c r="S49" s="413">
        <v>11.809377697004766</v>
      </c>
      <c r="T49" s="413">
        <v>1.9485473200057866</v>
      </c>
    </row>
    <row r="50" spans="1:22" s="290" customFormat="1" ht="13.2">
      <c r="A50" s="285">
        <v>1394</v>
      </c>
      <c r="B50" s="256">
        <v>128.5</v>
      </c>
      <c r="C50" s="256">
        <v>129</v>
      </c>
      <c r="D50" s="404">
        <v>128.75</v>
      </c>
      <c r="E50" s="308"/>
      <c r="F50" s="286">
        <v>4.9253630607999996</v>
      </c>
      <c r="G50" s="286">
        <v>4.5351974520000002</v>
      </c>
      <c r="H50" s="287">
        <v>1.1178719079999999</v>
      </c>
      <c r="I50" s="288">
        <v>452.08150000000001</v>
      </c>
      <c r="J50" s="288">
        <v>218.71100000000001</v>
      </c>
      <c r="K50" s="288">
        <v>8.44</v>
      </c>
      <c r="L50" s="289">
        <v>8.4570000000000007</v>
      </c>
      <c r="M50" s="288">
        <v>49.838999999999999</v>
      </c>
      <c r="N50" s="288"/>
      <c r="O50" s="413">
        <v>0.92078439619908403</v>
      </c>
      <c r="P50" s="413">
        <v>91.78643166389665</v>
      </c>
      <c r="Q50" s="413">
        <v>44.405051424671221</v>
      </c>
      <c r="R50" s="413">
        <v>1.7135792622420685</v>
      </c>
      <c r="S50" s="413">
        <v>10.118847968114034</v>
      </c>
      <c r="T50" s="413">
        <v>1.7170307844527459</v>
      </c>
    </row>
    <row r="51" spans="1:22" s="260" customFormat="1" ht="13.2">
      <c r="A51" s="285">
        <v>1395</v>
      </c>
      <c r="B51" s="256">
        <v>129.5</v>
      </c>
      <c r="C51" s="256">
        <v>130</v>
      </c>
      <c r="D51" s="405">
        <v>129.75</v>
      </c>
      <c r="E51" s="309"/>
      <c r="F51" s="258">
        <v>5.7550553839999994</v>
      </c>
      <c r="G51" s="258">
        <v>4.436869940357143</v>
      </c>
      <c r="H51" s="269">
        <v>0.86296353599999998</v>
      </c>
      <c r="I51" s="259">
        <v>299.97539999999998</v>
      </c>
      <c r="J51" s="259">
        <v>127.01300000000001</v>
      </c>
      <c r="K51" s="259">
        <v>6.3129999999999997</v>
      </c>
      <c r="L51" s="257">
        <v>6.343</v>
      </c>
      <c r="M51" s="259">
        <v>27.510999999999999</v>
      </c>
      <c r="N51" s="259"/>
      <c r="O51" s="414">
        <v>0.77095173622348989</v>
      </c>
      <c r="P51" s="414">
        <v>52.123807675940171</v>
      </c>
      <c r="Q51" s="414">
        <v>22.069813672535112</v>
      </c>
      <c r="R51" s="414">
        <v>1.0969486093133314</v>
      </c>
      <c r="S51" s="414">
        <v>4.7803188960587768</v>
      </c>
      <c r="T51" s="414">
        <v>1.1021614175311993</v>
      </c>
    </row>
    <row r="52" spans="1:22" s="290" customFormat="1" ht="13.2">
      <c r="A52" s="292">
        <v>1396</v>
      </c>
      <c r="B52" s="262">
        <v>130.5</v>
      </c>
      <c r="C52" s="262">
        <v>131</v>
      </c>
      <c r="D52" s="404">
        <v>130.75</v>
      </c>
      <c r="E52" s="308"/>
      <c r="F52" s="286">
        <v>5.5248714040000007</v>
      </c>
      <c r="G52" s="286">
        <v>4.0362406277142853</v>
      </c>
      <c r="H52" s="287">
        <v>0.61696315200000007</v>
      </c>
      <c r="I52" s="288">
        <v>278.24279999999999</v>
      </c>
      <c r="J52" s="288">
        <v>120.459</v>
      </c>
      <c r="K52" s="288">
        <v>7.5229999999999997</v>
      </c>
      <c r="L52" s="289">
        <v>5.9039999999999999</v>
      </c>
      <c r="M52" s="288">
        <v>17.768999999999998</v>
      </c>
      <c r="N52" s="288"/>
      <c r="O52" s="413">
        <v>0.73055829404319739</v>
      </c>
      <c r="P52" s="413">
        <v>50.361859969908537</v>
      </c>
      <c r="Q52" s="413">
        <v>21.803041408853034</v>
      </c>
      <c r="R52" s="413">
        <v>1.3616606523281893</v>
      </c>
      <c r="S52" s="413">
        <v>3.2161834549009165</v>
      </c>
      <c r="T52" s="413">
        <v>1.0686221575628911</v>
      </c>
    </row>
    <row r="53" spans="1:22" s="290" customFormat="1" ht="13.2">
      <c r="A53" s="285">
        <v>1397</v>
      </c>
      <c r="B53" s="255">
        <v>131.5</v>
      </c>
      <c r="C53" s="255">
        <v>132</v>
      </c>
      <c r="D53" s="404">
        <v>131.75</v>
      </c>
      <c r="E53" s="308"/>
      <c r="F53" s="286">
        <v>5.3004535480000001</v>
      </c>
      <c r="G53" s="286">
        <v>4.124580430928571</v>
      </c>
      <c r="H53" s="287">
        <v>0.74859086400000008</v>
      </c>
      <c r="I53" s="288">
        <v>224.76499999999999</v>
      </c>
      <c r="J53" s="288">
        <v>119.91200000000001</v>
      </c>
      <c r="K53" s="288">
        <v>4.57</v>
      </c>
      <c r="L53" s="289">
        <v>5.3449999999999998</v>
      </c>
      <c r="M53" s="288">
        <v>22.81</v>
      </c>
      <c r="N53" s="288"/>
      <c r="O53" s="413">
        <v>0.77815613203230183</v>
      </c>
      <c r="P53" s="413">
        <v>42.404861765991647</v>
      </c>
      <c r="Q53" s="413">
        <v>22.622969697611243</v>
      </c>
      <c r="R53" s="413">
        <v>0.86219036892123713</v>
      </c>
      <c r="S53" s="413">
        <v>4.303405320589369</v>
      </c>
      <c r="T53" s="413">
        <v>1.0084042717470485</v>
      </c>
    </row>
    <row r="54" spans="1:22" s="290" customFormat="1" ht="13.2">
      <c r="A54" s="285">
        <v>1398</v>
      </c>
      <c r="B54" s="255">
        <v>133.5</v>
      </c>
      <c r="C54" s="255">
        <v>134</v>
      </c>
      <c r="D54" s="404">
        <v>133.75</v>
      </c>
      <c r="E54" s="308"/>
      <c r="F54" s="286">
        <v>6.0160781199999995</v>
      </c>
      <c r="G54" s="286">
        <v>4.3271653600714277</v>
      </c>
      <c r="H54" s="287">
        <v>0.506936096</v>
      </c>
      <c r="I54" s="288">
        <v>177.59279999999998</v>
      </c>
      <c r="J54" s="288">
        <v>120.87</v>
      </c>
      <c r="K54" s="288">
        <v>6.3650000000000002</v>
      </c>
      <c r="L54" s="289">
        <v>5.1879999999999997</v>
      </c>
      <c r="M54" s="288">
        <v>15.144</v>
      </c>
      <c r="N54" s="288"/>
      <c r="O54" s="413">
        <v>0.71926681697933603</v>
      </c>
      <c r="P54" s="413">
        <v>29.519696462984093</v>
      </c>
      <c r="Q54" s="413">
        <v>20.091161981121353</v>
      </c>
      <c r="R54" s="413">
        <v>1.0579982295841599</v>
      </c>
      <c r="S54" s="413">
        <v>2.5172545465549909</v>
      </c>
      <c r="T54" s="413">
        <v>0.86235582326514071</v>
      </c>
    </row>
    <row r="55" spans="1:22" s="290" customFormat="1" ht="13.2">
      <c r="A55" s="285">
        <v>1399</v>
      </c>
      <c r="B55" s="255">
        <v>135.5</v>
      </c>
      <c r="C55" s="255">
        <v>136</v>
      </c>
      <c r="D55" s="404">
        <v>135.75</v>
      </c>
      <c r="E55" s="308"/>
      <c r="F55" s="286">
        <v>5.6830370480000001</v>
      </c>
      <c r="G55" s="286">
        <v>4.1311772132142854</v>
      </c>
      <c r="H55" s="287">
        <v>0.55209088400000006</v>
      </c>
      <c r="I55" s="288">
        <v>155.9007</v>
      </c>
      <c r="J55" s="288">
        <v>118.006</v>
      </c>
      <c r="K55" s="288">
        <v>7.0350000000000001</v>
      </c>
      <c r="L55" s="289">
        <v>4.7290000000000001</v>
      </c>
      <c r="M55" s="288">
        <v>14.093999999999999</v>
      </c>
      <c r="N55" s="288"/>
      <c r="O55" s="413">
        <v>0.72693124790874764</v>
      </c>
      <c r="P55" s="413">
        <v>27.432638338133881</v>
      </c>
      <c r="Q55" s="413">
        <v>20.764601568369013</v>
      </c>
      <c r="R55" s="413">
        <v>1.2378944463287969</v>
      </c>
      <c r="S55" s="413">
        <v>2.4800119867175638</v>
      </c>
      <c r="T55" s="413">
        <v>0.83212549206664965</v>
      </c>
    </row>
    <row r="56" spans="1:22" s="290" customFormat="1" ht="13.2">
      <c r="A56" s="285">
        <v>1400</v>
      </c>
      <c r="B56" s="255">
        <v>139.5</v>
      </c>
      <c r="C56" s="255">
        <v>140</v>
      </c>
      <c r="D56" s="404">
        <v>139.75</v>
      </c>
      <c r="E56" s="308"/>
      <c r="F56" s="286">
        <v>5.35466906</v>
      </c>
      <c r="G56" s="286">
        <v>3.7232124990000002</v>
      </c>
      <c r="H56" s="287">
        <v>0</v>
      </c>
      <c r="I56" s="288">
        <v>142.94409999999999</v>
      </c>
      <c r="J56" s="288">
        <v>107.21299999999999</v>
      </c>
      <c r="K56" s="289">
        <v>1.659</v>
      </c>
      <c r="L56" s="289">
        <v>3.3740000000000001</v>
      </c>
      <c r="M56" s="288">
        <v>6.968</v>
      </c>
      <c r="N56" s="288"/>
      <c r="O56" s="413">
        <v>0.69532074854314152</v>
      </c>
      <c r="P56" s="413">
        <v>26.695225867049192</v>
      </c>
      <c r="Q56" s="413">
        <v>20.022339158341932</v>
      </c>
      <c r="R56" s="413">
        <v>0.30982306869212939</v>
      </c>
      <c r="S56" s="413">
        <v>1.3012942390878588</v>
      </c>
      <c r="T56" s="413">
        <v>0.63010430004053319</v>
      </c>
    </row>
    <row r="57" spans="1:22" s="290" customFormat="1" ht="13.2">
      <c r="A57" s="285">
        <v>1401</v>
      </c>
      <c r="B57" s="255">
        <v>144.5</v>
      </c>
      <c r="C57" s="255">
        <v>145</v>
      </c>
      <c r="D57" s="404">
        <v>144.75</v>
      </c>
      <c r="E57" s="308"/>
      <c r="F57" s="286">
        <v>4.9935706599999996</v>
      </c>
      <c r="G57" s="286">
        <v>3.4705308944999995</v>
      </c>
      <c r="H57" s="287">
        <v>0</v>
      </c>
      <c r="I57" s="288">
        <v>146.62289999999999</v>
      </c>
      <c r="J57" s="288">
        <v>99.808999999999997</v>
      </c>
      <c r="K57" s="289">
        <v>1.3129999999999999</v>
      </c>
      <c r="L57" s="289">
        <v>2.9089999999999998</v>
      </c>
      <c r="M57" s="288">
        <v>3.5790000000000002</v>
      </c>
      <c r="N57" s="288"/>
      <c r="O57" s="413">
        <v>0.69499985697609012</v>
      </c>
      <c r="P57" s="413">
        <v>29.362336088381294</v>
      </c>
      <c r="Q57" s="413">
        <v>19.987501288306593</v>
      </c>
      <c r="R57" s="413">
        <v>0.26293810369352016</v>
      </c>
      <c r="S57" s="413">
        <v>0.71672160938241347</v>
      </c>
      <c r="T57" s="413">
        <v>0.5825490812219728</v>
      </c>
    </row>
    <row r="58" spans="1:22" s="300" customFormat="1" ht="13.8" thickBot="1">
      <c r="A58" s="285">
        <v>1402</v>
      </c>
      <c r="B58" s="294">
        <v>149</v>
      </c>
      <c r="C58" s="294">
        <v>149.5</v>
      </c>
      <c r="D58" s="406">
        <v>149.25</v>
      </c>
      <c r="E58" s="310"/>
      <c r="F58" s="295">
        <v>4.16</v>
      </c>
      <c r="G58" s="295">
        <v>3.1466165413533833</v>
      </c>
      <c r="H58" s="296">
        <v>0</v>
      </c>
      <c r="I58" s="297">
        <v>135</v>
      </c>
      <c r="J58" s="298">
        <v>95.912000000000006</v>
      </c>
      <c r="K58" s="299">
        <v>1.403</v>
      </c>
      <c r="L58" s="299">
        <v>2.6070000000000002</v>
      </c>
      <c r="M58" s="298">
        <v>3.7679999999999998</v>
      </c>
      <c r="N58" s="297"/>
      <c r="O58" s="415">
        <v>0.75639820705610172</v>
      </c>
      <c r="P58" s="415">
        <v>32.451923076923073</v>
      </c>
      <c r="Q58" s="415">
        <v>23.055769230769233</v>
      </c>
      <c r="R58" s="415">
        <v>0.33725961538461535</v>
      </c>
      <c r="S58" s="415">
        <v>0.90576923076923066</v>
      </c>
      <c r="T58" s="415">
        <v>0.62668269230769236</v>
      </c>
    </row>
    <row r="59" spans="1:22" ht="13.8" thickBot="1">
      <c r="A59" s="293">
        <v>1403</v>
      </c>
      <c r="B59" s="264"/>
      <c r="C59" s="264"/>
      <c r="F59" s="253"/>
      <c r="I59" s="263"/>
      <c r="J59" s="265"/>
      <c r="K59" s="265"/>
      <c r="L59" s="265"/>
      <c r="M59" s="265"/>
      <c r="N59" s="263"/>
      <c r="U59" s="304"/>
      <c r="V59" s="304"/>
    </row>
    <row r="60" spans="1:22" ht="14.4" thickBot="1">
      <c r="A60" s="264"/>
      <c r="B60" s="270" t="s">
        <v>130</v>
      </c>
      <c r="C60" s="271" t="s">
        <v>131</v>
      </c>
      <c r="I60" s="254"/>
      <c r="U60" s="304"/>
      <c r="V60" s="304"/>
    </row>
    <row r="61" spans="1:22" ht="14.4" thickBot="1">
      <c r="B61" s="272" t="s">
        <v>3</v>
      </c>
      <c r="C61" s="273" t="s">
        <v>132</v>
      </c>
      <c r="U61" s="304"/>
      <c r="V61" s="304"/>
    </row>
    <row r="62" spans="1:22" ht="13.8">
      <c r="B62" s="274" t="s">
        <v>133</v>
      </c>
      <c r="C62" s="301">
        <v>1.19</v>
      </c>
      <c r="U62" s="304"/>
      <c r="V62" s="304"/>
    </row>
    <row r="63" spans="1:22" ht="13.8">
      <c r="B63" s="274" t="s">
        <v>134</v>
      </c>
      <c r="C63" s="301">
        <v>0.86</v>
      </c>
      <c r="U63" s="304"/>
      <c r="V63" s="304"/>
    </row>
    <row r="64" spans="1:22" ht="13.8">
      <c r="B64" s="274" t="s">
        <v>135</v>
      </c>
      <c r="C64" s="301">
        <v>0.97</v>
      </c>
      <c r="U64" s="304"/>
      <c r="V64" s="304"/>
    </row>
    <row r="65" spans="2:22" ht="13.8">
      <c r="B65" s="274" t="s">
        <v>136</v>
      </c>
      <c r="C65" s="301">
        <v>1.03</v>
      </c>
      <c r="U65" s="304"/>
      <c r="V65" s="304"/>
    </row>
    <row r="66" spans="2:22" ht="13.8">
      <c r="B66" s="274" t="s">
        <v>137</v>
      </c>
      <c r="C66" s="301">
        <v>1.95</v>
      </c>
      <c r="U66" s="304"/>
      <c r="V66" s="304"/>
    </row>
    <row r="67" spans="2:22" ht="13.8">
      <c r="B67" s="274" t="s">
        <v>138</v>
      </c>
      <c r="C67" s="301">
        <v>3.34</v>
      </c>
      <c r="U67" s="304"/>
      <c r="V67" s="304"/>
    </row>
    <row r="68" spans="2:22" ht="13.8">
      <c r="B68" s="274" t="s">
        <v>139</v>
      </c>
      <c r="C68" s="301">
        <v>4.22</v>
      </c>
      <c r="U68" s="304"/>
      <c r="V68" s="304"/>
    </row>
    <row r="69" spans="2:22" ht="13.8">
      <c r="B69" s="274" t="s">
        <v>140</v>
      </c>
      <c r="C69" s="301">
        <v>3.98</v>
      </c>
      <c r="U69" s="304"/>
      <c r="V69" s="304"/>
    </row>
    <row r="70" spans="2:22" ht="13.8">
      <c r="B70" s="274" t="s">
        <v>141</v>
      </c>
      <c r="C70" s="301">
        <v>3.76</v>
      </c>
      <c r="U70" s="304"/>
      <c r="V70" s="304"/>
    </row>
    <row r="71" spans="2:22" ht="13.8">
      <c r="B71" s="275" t="s">
        <v>142</v>
      </c>
      <c r="C71" s="302">
        <v>3.57</v>
      </c>
      <c r="U71" s="304"/>
      <c r="V71" s="304"/>
    </row>
    <row r="72" spans="2:22" ht="13.8">
      <c r="B72" s="274" t="s">
        <v>143</v>
      </c>
      <c r="C72" s="301">
        <v>3.58</v>
      </c>
      <c r="U72" s="304"/>
      <c r="V72" s="304"/>
    </row>
    <row r="73" spans="2:22" ht="13.8">
      <c r="B73" s="274" t="s">
        <v>144</v>
      </c>
      <c r="C73" s="301">
        <v>1.89</v>
      </c>
      <c r="U73" s="304"/>
      <c r="V73" s="304"/>
    </row>
    <row r="74" spans="2:22" ht="13.8">
      <c r="B74" s="274" t="s">
        <v>145</v>
      </c>
      <c r="C74" s="301">
        <v>1.22</v>
      </c>
      <c r="U74" s="304"/>
      <c r="V74" s="304"/>
    </row>
    <row r="75" spans="2:22" ht="13.8">
      <c r="B75" s="275" t="s">
        <v>146</v>
      </c>
      <c r="C75" s="302">
        <v>1.19</v>
      </c>
      <c r="U75" s="304"/>
      <c r="V75" s="304"/>
    </row>
    <row r="76" spans="2:22" ht="13.8">
      <c r="B76" s="274" t="s">
        <v>147</v>
      </c>
      <c r="C76" s="301">
        <v>0.84</v>
      </c>
      <c r="U76" s="304"/>
      <c r="V76" s="304"/>
    </row>
    <row r="77" spans="2:22" ht="13.8">
      <c r="B77" s="274" t="s">
        <v>148</v>
      </c>
      <c r="C77" s="301">
        <v>0.79</v>
      </c>
      <c r="U77" s="304"/>
      <c r="V77" s="304"/>
    </row>
    <row r="78" spans="2:22" ht="13.8">
      <c r="B78" s="274" t="s">
        <v>149</v>
      </c>
      <c r="C78" s="301">
        <v>0.72</v>
      </c>
      <c r="U78" s="304"/>
      <c r="V78" s="304"/>
    </row>
    <row r="79" spans="2:22" ht="14.4" thickBot="1">
      <c r="B79" s="276" t="s">
        <v>150</v>
      </c>
      <c r="C79" s="303">
        <v>0.63</v>
      </c>
      <c r="U79" s="304"/>
      <c r="V79" s="304"/>
    </row>
    <row r="80" spans="2:22">
      <c r="U80" s="304"/>
      <c r="V80" s="304"/>
    </row>
    <row r="81" spans="1:22">
      <c r="U81" s="304"/>
      <c r="V81" s="304"/>
    </row>
    <row r="82" spans="1:22" s="397" customFormat="1" ht="13.2">
      <c r="A82" s="304"/>
    </row>
    <row r="83" spans="1:22" s="397" customFormat="1" ht="13.8">
      <c r="A83" s="396" t="s">
        <v>245</v>
      </c>
    </row>
    <row r="84" spans="1:22" s="397" customFormat="1" ht="13.8">
      <c r="A84" s="396" t="s">
        <v>237</v>
      </c>
    </row>
    <row r="85" spans="1:22" ht="13.8">
      <c r="A85" s="398" t="s">
        <v>238</v>
      </c>
      <c r="U85" s="304"/>
      <c r="V85" s="304"/>
    </row>
    <row r="86" spans="1:22">
      <c r="U86" s="304"/>
      <c r="V86" s="304"/>
    </row>
    <row r="87" spans="1:22">
      <c r="U87" s="304"/>
      <c r="V87" s="304"/>
    </row>
    <row r="88" spans="1:22">
      <c r="U88" s="304"/>
      <c r="V88" s="304"/>
    </row>
    <row r="89" spans="1:22">
      <c r="U89" s="304"/>
      <c r="V89" s="304"/>
    </row>
    <row r="90" spans="1:22">
      <c r="U90" s="304"/>
      <c r="V90" s="304"/>
    </row>
    <row r="91" spans="1:22">
      <c r="U91" s="304"/>
      <c r="V91" s="304"/>
    </row>
    <row r="92" spans="1:22">
      <c r="U92" s="304"/>
      <c r="V92" s="304"/>
    </row>
    <row r="93" spans="1:22">
      <c r="U93" s="304"/>
      <c r="V93" s="304"/>
    </row>
    <row r="94" spans="1:22">
      <c r="U94" s="304"/>
      <c r="V94" s="304"/>
    </row>
    <row r="95" spans="1:22">
      <c r="U95" s="304"/>
      <c r="V95" s="304"/>
    </row>
    <row r="96" spans="1:22">
      <c r="U96" s="304"/>
      <c r="V96" s="304"/>
    </row>
    <row r="97" spans="21:22">
      <c r="U97" s="304"/>
      <c r="V97" s="304"/>
    </row>
    <row r="98" spans="21:22">
      <c r="U98" s="304"/>
      <c r="V98" s="304"/>
    </row>
    <row r="99" spans="21:22">
      <c r="U99" s="304"/>
      <c r="V99" s="304"/>
    </row>
    <row r="100" spans="21:22">
      <c r="U100" s="304"/>
      <c r="V100" s="304"/>
    </row>
    <row r="101" spans="21:22">
      <c r="U101" s="304"/>
      <c r="V101" s="304"/>
    </row>
    <row r="102" spans="21:22">
      <c r="U102" s="304"/>
      <c r="V102" s="304"/>
    </row>
    <row r="103" spans="21:22">
      <c r="U103" s="304"/>
      <c r="V103" s="304"/>
    </row>
    <row r="104" spans="21:22">
      <c r="U104" s="304"/>
      <c r="V104" s="304"/>
    </row>
    <row r="105" spans="21:22">
      <c r="U105" s="304"/>
      <c r="V105" s="304"/>
    </row>
    <row r="106" spans="21:22">
      <c r="U106" s="304"/>
      <c r="V106" s="304"/>
    </row>
    <row r="107" spans="21:22">
      <c r="U107" s="304"/>
      <c r="V107" s="304"/>
    </row>
    <row r="108" spans="21:22">
      <c r="U108" s="304"/>
      <c r="V108" s="304"/>
    </row>
    <row r="109" spans="21:22">
      <c r="U109" s="304"/>
      <c r="V109" s="304"/>
    </row>
    <row r="110" spans="21:22">
      <c r="U110" s="304"/>
      <c r="V110" s="304"/>
    </row>
    <row r="111" spans="21:22">
      <c r="U111" s="304"/>
      <c r="V111" s="304"/>
    </row>
    <row r="112" spans="21:22">
      <c r="U112" s="304"/>
      <c r="V112" s="304"/>
    </row>
    <row r="113" spans="21:22">
      <c r="U113" s="304"/>
      <c r="V113" s="304"/>
    </row>
    <row r="114" spans="21:22">
      <c r="U114" s="304"/>
      <c r="V114" s="304"/>
    </row>
    <row r="115" spans="21:22">
      <c r="U115" s="304"/>
      <c r="V115" s="304"/>
    </row>
    <row r="116" spans="21:22">
      <c r="U116" s="304"/>
      <c r="V116" s="304"/>
    </row>
    <row r="117" spans="21:22">
      <c r="U117" s="304"/>
      <c r="V117" s="304"/>
    </row>
    <row r="118" spans="21:22">
      <c r="U118" s="304"/>
      <c r="V118" s="304"/>
    </row>
    <row r="119" spans="21:22">
      <c r="U119" s="304"/>
      <c r="V119" s="304"/>
    </row>
    <row r="120" spans="21:22">
      <c r="U120" s="304"/>
      <c r="V120" s="304"/>
    </row>
    <row r="121" spans="21:22">
      <c r="U121" s="304"/>
      <c r="V121" s="304"/>
    </row>
    <row r="122" spans="21:22">
      <c r="U122" s="304"/>
      <c r="V122" s="304"/>
    </row>
    <row r="123" spans="21:22">
      <c r="U123" s="304"/>
      <c r="V123" s="304"/>
    </row>
    <row r="124" spans="21:22">
      <c r="U124" s="304"/>
      <c r="V124" s="304"/>
    </row>
    <row r="125" spans="21:22">
      <c r="U125" s="304"/>
      <c r="V125" s="304"/>
    </row>
    <row r="126" spans="21:22">
      <c r="U126" s="304"/>
      <c r="V126" s="304"/>
    </row>
    <row r="127" spans="21:22">
      <c r="U127" s="304"/>
      <c r="V127" s="304"/>
    </row>
    <row r="128" spans="21:22">
      <c r="U128" s="304"/>
      <c r="V128" s="304"/>
    </row>
    <row r="129" spans="21:22">
      <c r="U129" s="304"/>
      <c r="V129" s="304"/>
    </row>
    <row r="130" spans="21:22">
      <c r="U130" s="304"/>
      <c r="V130" s="304"/>
    </row>
    <row r="131" spans="21:22">
      <c r="U131" s="304"/>
      <c r="V131" s="304"/>
    </row>
    <row r="132" spans="21:22">
      <c r="U132" s="304"/>
      <c r="V132" s="304"/>
    </row>
    <row r="133" spans="21:22">
      <c r="U133" s="304"/>
      <c r="V133" s="304"/>
    </row>
    <row r="134" spans="21:22">
      <c r="U134" s="304"/>
      <c r="V134" s="304"/>
    </row>
    <row r="135" spans="21:22">
      <c r="U135" s="304"/>
      <c r="V135" s="304"/>
    </row>
    <row r="136" spans="21:22">
      <c r="U136" s="304"/>
      <c r="V136" s="304"/>
    </row>
    <row r="137" spans="21:22">
      <c r="U137" s="304"/>
      <c r="V137" s="304"/>
    </row>
    <row r="138" spans="21:22">
      <c r="U138" s="304"/>
      <c r="V138" s="304"/>
    </row>
    <row r="139" spans="21:22">
      <c r="U139" s="304"/>
      <c r="V139" s="304"/>
    </row>
    <row r="140" spans="21:22">
      <c r="U140" s="304"/>
      <c r="V140" s="304"/>
    </row>
    <row r="141" spans="21:22">
      <c r="U141" s="304"/>
      <c r="V141" s="304"/>
    </row>
    <row r="142" spans="21:22">
      <c r="U142" s="304"/>
      <c r="V142" s="304"/>
    </row>
    <row r="143" spans="21:22">
      <c r="U143" s="304"/>
      <c r="V143" s="304"/>
    </row>
    <row r="144" spans="21:22">
      <c r="U144" s="304"/>
      <c r="V144" s="304"/>
    </row>
    <row r="145" spans="21:22">
      <c r="U145" s="304"/>
      <c r="V145" s="304"/>
    </row>
    <row r="146" spans="21:22">
      <c r="U146" s="304"/>
      <c r="V146" s="304"/>
    </row>
    <row r="147" spans="21:22">
      <c r="U147" s="304"/>
      <c r="V147" s="304"/>
    </row>
    <row r="148" spans="21:22">
      <c r="U148" s="304"/>
      <c r="V148" s="304"/>
    </row>
    <row r="149" spans="21:22">
      <c r="U149" s="304"/>
      <c r="V149" s="304"/>
    </row>
    <row r="150" spans="21:22">
      <c r="U150" s="304"/>
      <c r="V150" s="304"/>
    </row>
    <row r="151" spans="21:22">
      <c r="U151" s="304"/>
      <c r="V151" s="304"/>
    </row>
    <row r="152" spans="21:22">
      <c r="U152" s="304"/>
      <c r="V152" s="304"/>
    </row>
    <row r="153" spans="21:22">
      <c r="U153" s="304"/>
      <c r="V153" s="304"/>
    </row>
    <row r="154" spans="21:22">
      <c r="U154" s="304"/>
      <c r="V154" s="304"/>
    </row>
    <row r="155" spans="21:22">
      <c r="U155" s="304"/>
      <c r="V155" s="304"/>
    </row>
    <row r="156" spans="21:22">
      <c r="U156" s="304"/>
      <c r="V156" s="304"/>
    </row>
    <row r="157" spans="21:22">
      <c r="U157" s="304"/>
      <c r="V157" s="304"/>
    </row>
    <row r="158" spans="21:22">
      <c r="U158" s="304"/>
      <c r="V158" s="304"/>
    </row>
    <row r="159" spans="21:22">
      <c r="U159" s="304"/>
      <c r="V159" s="304"/>
    </row>
    <row r="160" spans="21:22">
      <c r="U160" s="304"/>
      <c r="V160" s="304"/>
    </row>
    <row r="161" spans="21:22">
      <c r="U161" s="304"/>
      <c r="V161" s="304"/>
    </row>
    <row r="162" spans="21:22">
      <c r="U162" s="304"/>
      <c r="V162" s="304"/>
    </row>
    <row r="163" spans="21:22">
      <c r="U163" s="304"/>
      <c r="V163" s="304"/>
    </row>
    <row r="164" spans="21:22">
      <c r="U164" s="304"/>
      <c r="V164" s="304"/>
    </row>
    <row r="165" spans="21:22">
      <c r="U165" s="304"/>
      <c r="V165" s="304"/>
    </row>
    <row r="166" spans="21:22">
      <c r="U166" s="304"/>
      <c r="V166" s="304"/>
    </row>
    <row r="167" spans="21:22">
      <c r="U167" s="304"/>
      <c r="V167" s="304"/>
    </row>
    <row r="168" spans="21:22">
      <c r="U168" s="304"/>
      <c r="V168" s="304"/>
    </row>
    <row r="169" spans="21:22">
      <c r="U169" s="304"/>
      <c r="V169" s="304"/>
    </row>
    <row r="170" spans="21:22">
      <c r="U170" s="304"/>
      <c r="V170" s="304"/>
    </row>
    <row r="171" spans="21:22">
      <c r="U171" s="304"/>
      <c r="V171" s="304"/>
    </row>
    <row r="172" spans="21:22">
      <c r="U172" s="304"/>
      <c r="V172" s="304"/>
    </row>
    <row r="173" spans="21:22">
      <c r="U173" s="304"/>
      <c r="V173" s="304"/>
    </row>
    <row r="174" spans="21:22">
      <c r="U174" s="304"/>
      <c r="V174" s="304"/>
    </row>
    <row r="175" spans="21:22">
      <c r="U175" s="304"/>
      <c r="V175" s="304"/>
    </row>
    <row r="176" spans="21:22">
      <c r="U176" s="304"/>
      <c r="V176" s="304"/>
    </row>
    <row r="177" spans="21:22">
      <c r="U177" s="304"/>
      <c r="V177" s="304"/>
    </row>
    <row r="178" spans="21:22">
      <c r="U178" s="304"/>
      <c r="V178" s="304"/>
    </row>
    <row r="179" spans="21:22">
      <c r="U179" s="304"/>
      <c r="V179" s="304"/>
    </row>
    <row r="180" spans="21:22">
      <c r="U180" s="304"/>
      <c r="V180" s="304"/>
    </row>
    <row r="181" spans="21:22">
      <c r="U181" s="304"/>
      <c r="V181" s="304"/>
    </row>
    <row r="182" spans="21:22">
      <c r="U182" s="304"/>
      <c r="V182" s="304"/>
    </row>
    <row r="183" spans="21:22">
      <c r="U183" s="304"/>
      <c r="V183" s="304"/>
    </row>
    <row r="184" spans="21:22">
      <c r="U184" s="304"/>
      <c r="V184" s="304"/>
    </row>
    <row r="185" spans="21:22">
      <c r="U185" s="304"/>
      <c r="V185" s="304"/>
    </row>
    <row r="186" spans="21:22">
      <c r="U186" s="304"/>
      <c r="V186" s="304"/>
    </row>
    <row r="187" spans="21:22">
      <c r="U187" s="304"/>
      <c r="V187" s="304"/>
    </row>
    <row r="188" spans="21:22">
      <c r="U188" s="304"/>
      <c r="V188" s="304"/>
    </row>
    <row r="189" spans="21:22">
      <c r="U189" s="304"/>
      <c r="V189" s="304"/>
    </row>
    <row r="190" spans="21:22">
      <c r="U190" s="304"/>
      <c r="V190" s="304"/>
    </row>
    <row r="191" spans="21:22">
      <c r="U191" s="304"/>
      <c r="V191" s="304"/>
    </row>
    <row r="192" spans="21:22">
      <c r="U192" s="304"/>
      <c r="V192" s="304"/>
    </row>
    <row r="193" spans="21:22">
      <c r="U193" s="304"/>
      <c r="V193" s="304"/>
    </row>
    <row r="194" spans="21:22">
      <c r="U194" s="304"/>
      <c r="V194" s="304"/>
    </row>
    <row r="195" spans="21:22">
      <c r="U195" s="304"/>
      <c r="V195" s="304"/>
    </row>
    <row r="196" spans="21:22">
      <c r="U196" s="304"/>
      <c r="V196" s="304"/>
    </row>
    <row r="197" spans="21:22">
      <c r="U197" s="304"/>
      <c r="V197" s="304"/>
    </row>
    <row r="198" spans="21:22">
      <c r="U198" s="304"/>
      <c r="V198" s="304"/>
    </row>
    <row r="199" spans="21:22">
      <c r="U199" s="304"/>
      <c r="V199" s="304"/>
    </row>
    <row r="200" spans="21:22">
      <c r="U200" s="304"/>
      <c r="V200" s="304"/>
    </row>
    <row r="201" spans="21:22">
      <c r="U201" s="304"/>
      <c r="V201" s="304"/>
    </row>
    <row r="202" spans="21:22">
      <c r="U202" s="304"/>
      <c r="V202" s="304"/>
    </row>
    <row r="203" spans="21:22">
      <c r="U203" s="304"/>
      <c r="V203" s="304"/>
    </row>
    <row r="204" spans="21:22">
      <c r="U204" s="304"/>
      <c r="V204" s="304"/>
    </row>
    <row r="205" spans="21:22">
      <c r="U205" s="304"/>
      <c r="V205" s="304"/>
    </row>
    <row r="206" spans="21:22">
      <c r="U206" s="304"/>
      <c r="V206" s="304"/>
    </row>
    <row r="207" spans="21:22">
      <c r="U207" s="304"/>
      <c r="V207" s="304"/>
    </row>
    <row r="208" spans="21:22">
      <c r="U208" s="304"/>
      <c r="V208" s="304"/>
    </row>
    <row r="209" spans="21:22">
      <c r="U209" s="304"/>
      <c r="V209" s="304"/>
    </row>
    <row r="210" spans="21:22">
      <c r="U210" s="304"/>
      <c r="V210" s="304"/>
    </row>
    <row r="211" spans="21:22">
      <c r="U211" s="304"/>
      <c r="V211" s="304"/>
    </row>
    <row r="212" spans="21:22">
      <c r="U212" s="304"/>
      <c r="V212" s="304"/>
    </row>
    <row r="213" spans="21:22">
      <c r="U213" s="304"/>
      <c r="V213" s="304"/>
    </row>
    <row r="214" spans="21:22">
      <c r="U214" s="304"/>
      <c r="V214" s="304"/>
    </row>
    <row r="215" spans="21:22">
      <c r="U215" s="304"/>
      <c r="V215" s="304"/>
    </row>
    <row r="216" spans="21:22">
      <c r="U216" s="304"/>
      <c r="V216" s="304"/>
    </row>
    <row r="217" spans="21:22">
      <c r="U217" s="304"/>
      <c r="V217" s="304"/>
    </row>
    <row r="218" spans="21:22">
      <c r="U218" s="304"/>
      <c r="V218" s="304"/>
    </row>
    <row r="219" spans="21:22">
      <c r="U219" s="304"/>
      <c r="V219" s="304"/>
    </row>
    <row r="220" spans="21:22">
      <c r="U220" s="304"/>
      <c r="V220" s="304"/>
    </row>
    <row r="221" spans="21:22">
      <c r="U221" s="304"/>
      <c r="V221" s="304"/>
    </row>
    <row r="222" spans="21:22">
      <c r="U222" s="304"/>
      <c r="V222" s="304"/>
    </row>
    <row r="223" spans="21:22">
      <c r="U223" s="304"/>
      <c r="V223" s="304"/>
    </row>
    <row r="224" spans="21:22">
      <c r="U224" s="304"/>
      <c r="V224" s="304"/>
    </row>
    <row r="225" spans="21:22">
      <c r="U225" s="304"/>
      <c r="V225" s="304"/>
    </row>
    <row r="226" spans="21:22">
      <c r="U226" s="304"/>
      <c r="V226" s="304"/>
    </row>
    <row r="227" spans="21:22">
      <c r="U227" s="304"/>
      <c r="V227" s="304"/>
    </row>
    <row r="228" spans="21:22">
      <c r="U228" s="304"/>
      <c r="V228" s="304"/>
    </row>
    <row r="229" spans="21:22">
      <c r="U229" s="304"/>
      <c r="V229" s="304"/>
    </row>
    <row r="230" spans="21:22">
      <c r="U230" s="304"/>
      <c r="V230" s="304"/>
    </row>
    <row r="231" spans="21:22">
      <c r="U231" s="304"/>
      <c r="V231" s="304"/>
    </row>
    <row r="232" spans="21:22">
      <c r="U232" s="304"/>
      <c r="V232" s="304"/>
    </row>
    <row r="233" spans="21:22">
      <c r="U233" s="304"/>
      <c r="V233" s="304"/>
    </row>
    <row r="234" spans="21:22">
      <c r="U234" s="304"/>
      <c r="V234" s="304"/>
    </row>
    <row r="235" spans="21:22">
      <c r="U235" s="304"/>
      <c r="V235" s="304"/>
    </row>
    <row r="236" spans="21:22">
      <c r="U236" s="304"/>
      <c r="V236" s="304"/>
    </row>
    <row r="237" spans="21:22">
      <c r="U237" s="304"/>
      <c r="V237" s="304"/>
    </row>
    <row r="238" spans="21:22">
      <c r="U238" s="304"/>
      <c r="V238" s="304"/>
    </row>
    <row r="239" spans="21:22">
      <c r="U239" s="304"/>
      <c r="V239" s="304"/>
    </row>
    <row r="240" spans="21:22">
      <c r="U240" s="304"/>
      <c r="V240" s="304"/>
    </row>
    <row r="241" spans="21:22">
      <c r="U241" s="304"/>
      <c r="V241" s="304"/>
    </row>
    <row r="242" spans="21:22">
      <c r="U242" s="304"/>
      <c r="V242" s="304"/>
    </row>
    <row r="243" spans="21:22">
      <c r="U243" s="304"/>
      <c r="V243" s="304"/>
    </row>
    <row r="244" spans="21:22">
      <c r="U244" s="304"/>
      <c r="V244" s="304"/>
    </row>
    <row r="245" spans="21:22">
      <c r="U245" s="304"/>
      <c r="V245" s="304"/>
    </row>
    <row r="246" spans="21:22">
      <c r="U246" s="304"/>
      <c r="V246" s="304"/>
    </row>
    <row r="247" spans="21:22">
      <c r="U247" s="304"/>
      <c r="V247" s="304"/>
    </row>
    <row r="248" spans="21:22">
      <c r="U248" s="304"/>
      <c r="V248" s="304"/>
    </row>
    <row r="249" spans="21:22">
      <c r="U249" s="304"/>
      <c r="V249" s="304"/>
    </row>
    <row r="250" spans="21:22">
      <c r="U250" s="304"/>
      <c r="V250" s="304"/>
    </row>
    <row r="251" spans="21:22">
      <c r="U251" s="304"/>
      <c r="V251" s="304"/>
    </row>
    <row r="252" spans="21:22">
      <c r="U252" s="304"/>
      <c r="V252" s="304"/>
    </row>
    <row r="253" spans="21:22">
      <c r="U253" s="304"/>
      <c r="V253" s="304"/>
    </row>
    <row r="254" spans="21:22">
      <c r="U254" s="304"/>
      <c r="V254" s="304"/>
    </row>
    <row r="255" spans="21:22">
      <c r="U255" s="304"/>
      <c r="V255" s="304"/>
    </row>
    <row r="256" spans="21:22">
      <c r="U256" s="304"/>
      <c r="V256" s="304"/>
    </row>
    <row r="257" spans="21:22">
      <c r="U257" s="304"/>
      <c r="V257" s="304"/>
    </row>
    <row r="258" spans="21:22">
      <c r="U258" s="304"/>
      <c r="V258" s="304"/>
    </row>
    <row r="259" spans="21:22">
      <c r="U259" s="304"/>
      <c r="V259" s="304"/>
    </row>
    <row r="260" spans="21:22">
      <c r="U260" s="304"/>
      <c r="V260" s="304"/>
    </row>
    <row r="261" spans="21:22">
      <c r="U261" s="304"/>
      <c r="V261" s="304"/>
    </row>
    <row r="262" spans="21:22">
      <c r="U262" s="304"/>
      <c r="V262" s="304"/>
    </row>
    <row r="263" spans="21:22">
      <c r="U263" s="304"/>
      <c r="V263" s="304"/>
    </row>
    <row r="264" spans="21:22">
      <c r="U264" s="304"/>
      <c r="V264" s="304"/>
    </row>
    <row r="265" spans="21:22">
      <c r="U265" s="304"/>
      <c r="V265" s="304"/>
    </row>
    <row r="266" spans="21:22">
      <c r="U266" s="304"/>
      <c r="V266" s="304"/>
    </row>
    <row r="267" spans="21:22">
      <c r="U267" s="304"/>
      <c r="V267" s="304"/>
    </row>
    <row r="268" spans="21:22">
      <c r="U268" s="304"/>
      <c r="V268" s="304"/>
    </row>
    <row r="269" spans="21:22">
      <c r="U269" s="304"/>
      <c r="V269" s="304"/>
    </row>
    <row r="270" spans="21:22">
      <c r="U270" s="304"/>
      <c r="V270" s="304"/>
    </row>
    <row r="271" spans="21:22">
      <c r="U271" s="304"/>
      <c r="V271" s="304"/>
    </row>
    <row r="272" spans="21:22">
      <c r="U272" s="304"/>
      <c r="V272" s="304"/>
    </row>
    <row r="273" spans="21:22">
      <c r="U273" s="304"/>
      <c r="V273" s="304"/>
    </row>
    <row r="274" spans="21:22">
      <c r="U274" s="304"/>
      <c r="V274" s="304"/>
    </row>
    <row r="275" spans="21:22">
      <c r="U275" s="304"/>
      <c r="V275" s="304"/>
    </row>
    <row r="276" spans="21:22">
      <c r="U276" s="304"/>
      <c r="V276" s="304"/>
    </row>
    <row r="277" spans="21:22">
      <c r="U277" s="304"/>
      <c r="V277" s="304"/>
    </row>
    <row r="278" spans="21:22">
      <c r="U278" s="304"/>
      <c r="V278" s="304"/>
    </row>
    <row r="279" spans="21:22">
      <c r="U279" s="304"/>
      <c r="V279" s="304"/>
    </row>
    <row r="280" spans="21:22">
      <c r="U280" s="304"/>
      <c r="V280" s="304"/>
    </row>
    <row r="281" spans="21:22">
      <c r="U281" s="304"/>
      <c r="V281" s="304"/>
    </row>
    <row r="282" spans="21:22">
      <c r="U282" s="304"/>
      <c r="V282" s="304"/>
    </row>
    <row r="283" spans="21:22">
      <c r="U283" s="304"/>
      <c r="V283" s="304"/>
    </row>
    <row r="284" spans="21:22">
      <c r="U284" s="304"/>
      <c r="V284" s="304"/>
    </row>
    <row r="285" spans="21:22">
      <c r="U285" s="304"/>
      <c r="V285" s="304"/>
    </row>
    <row r="286" spans="21:22">
      <c r="U286" s="304"/>
      <c r="V286" s="304"/>
    </row>
    <row r="287" spans="21:22">
      <c r="U287" s="304"/>
      <c r="V287" s="304"/>
    </row>
    <row r="288" spans="21:22">
      <c r="U288" s="304"/>
      <c r="V288" s="304"/>
    </row>
    <row r="289" spans="21:22">
      <c r="U289" s="304"/>
      <c r="V289" s="304"/>
    </row>
    <row r="290" spans="21:22">
      <c r="U290" s="304"/>
      <c r="V290" s="304"/>
    </row>
    <row r="291" spans="21:22">
      <c r="U291" s="304"/>
      <c r="V291" s="304"/>
    </row>
    <row r="292" spans="21:22">
      <c r="U292" s="304"/>
      <c r="V292" s="304"/>
    </row>
    <row r="293" spans="21:22">
      <c r="U293" s="304"/>
      <c r="V293" s="304"/>
    </row>
    <row r="294" spans="21:22">
      <c r="U294" s="304"/>
      <c r="V294" s="304"/>
    </row>
    <row r="295" spans="21:22">
      <c r="U295" s="304"/>
      <c r="V295" s="304"/>
    </row>
    <row r="296" spans="21:22">
      <c r="U296" s="304"/>
      <c r="V296" s="304"/>
    </row>
    <row r="297" spans="21:22">
      <c r="U297" s="304"/>
      <c r="V297" s="304"/>
    </row>
    <row r="298" spans="21:22">
      <c r="U298" s="304"/>
      <c r="V298" s="304"/>
    </row>
    <row r="299" spans="21:22">
      <c r="U299" s="304"/>
      <c r="V299" s="304"/>
    </row>
    <row r="300" spans="21:22">
      <c r="U300" s="304"/>
      <c r="V300" s="304"/>
    </row>
    <row r="301" spans="21:22">
      <c r="U301" s="304"/>
      <c r="V301" s="304"/>
    </row>
    <row r="302" spans="21:22">
      <c r="U302" s="304"/>
      <c r="V302" s="304"/>
    </row>
    <row r="303" spans="21:22">
      <c r="U303" s="304"/>
      <c r="V303" s="304"/>
    </row>
    <row r="304" spans="21:22">
      <c r="U304" s="304"/>
      <c r="V304" s="304"/>
    </row>
    <row r="305" spans="21:22">
      <c r="U305" s="304"/>
      <c r="V305" s="304"/>
    </row>
    <row r="306" spans="21:22">
      <c r="U306" s="304"/>
      <c r="V306" s="304"/>
    </row>
    <row r="307" spans="21:22">
      <c r="U307" s="304"/>
      <c r="V307" s="304"/>
    </row>
    <row r="308" spans="21:22">
      <c r="U308" s="304"/>
      <c r="V308" s="304"/>
    </row>
    <row r="309" spans="21:22">
      <c r="U309" s="304"/>
      <c r="V309" s="304"/>
    </row>
    <row r="310" spans="21:22">
      <c r="U310" s="304"/>
      <c r="V310" s="304"/>
    </row>
    <row r="311" spans="21:22">
      <c r="U311" s="304"/>
      <c r="V311" s="304"/>
    </row>
    <row r="312" spans="21:22">
      <c r="U312" s="304"/>
      <c r="V312" s="304"/>
    </row>
    <row r="313" spans="21:22">
      <c r="U313" s="304"/>
      <c r="V313" s="304"/>
    </row>
    <row r="314" spans="21:22">
      <c r="U314" s="304"/>
      <c r="V314" s="304"/>
    </row>
    <row r="315" spans="21:22">
      <c r="U315" s="304"/>
      <c r="V315" s="304"/>
    </row>
    <row r="316" spans="21:22">
      <c r="U316" s="304"/>
      <c r="V316" s="304"/>
    </row>
    <row r="317" spans="21:22">
      <c r="U317" s="304"/>
      <c r="V317" s="304"/>
    </row>
    <row r="318" spans="21:22">
      <c r="U318" s="304"/>
      <c r="V318" s="304"/>
    </row>
    <row r="319" spans="21:22">
      <c r="U319" s="304"/>
      <c r="V319" s="304"/>
    </row>
    <row r="320" spans="21:22">
      <c r="U320" s="304"/>
      <c r="V320" s="304"/>
    </row>
    <row r="321" spans="21:22">
      <c r="U321" s="304"/>
      <c r="V321" s="304"/>
    </row>
    <row r="322" spans="21:22">
      <c r="U322" s="304"/>
      <c r="V322" s="304"/>
    </row>
    <row r="323" spans="21:22">
      <c r="U323" s="304"/>
      <c r="V323" s="304"/>
    </row>
    <row r="324" spans="21:22">
      <c r="U324" s="304"/>
      <c r="V324" s="304"/>
    </row>
    <row r="325" spans="21:22">
      <c r="U325" s="304"/>
      <c r="V325" s="304"/>
    </row>
    <row r="326" spans="21:22">
      <c r="U326" s="304"/>
      <c r="V326" s="304"/>
    </row>
    <row r="327" spans="21:22">
      <c r="U327" s="304"/>
      <c r="V327" s="304"/>
    </row>
    <row r="328" spans="21:22">
      <c r="U328" s="304"/>
      <c r="V328" s="304"/>
    </row>
    <row r="329" spans="21:22">
      <c r="U329" s="304"/>
      <c r="V329" s="304"/>
    </row>
    <row r="330" spans="21:22">
      <c r="U330" s="304"/>
      <c r="V330" s="304"/>
    </row>
    <row r="331" spans="21:22">
      <c r="U331" s="304"/>
      <c r="V331" s="304"/>
    </row>
    <row r="332" spans="21:22">
      <c r="U332" s="304"/>
      <c r="V332" s="304"/>
    </row>
    <row r="333" spans="21:22">
      <c r="U333" s="304"/>
      <c r="V333" s="304"/>
    </row>
    <row r="334" spans="21:22">
      <c r="U334" s="304"/>
      <c r="V334" s="304"/>
    </row>
    <row r="335" spans="21:22">
      <c r="U335" s="304"/>
      <c r="V335" s="304"/>
    </row>
    <row r="336" spans="21:22">
      <c r="U336" s="304"/>
      <c r="V336" s="304"/>
    </row>
    <row r="337" spans="21:22">
      <c r="U337" s="304"/>
      <c r="V337" s="304"/>
    </row>
    <row r="338" spans="21:22">
      <c r="U338" s="304"/>
      <c r="V338" s="304"/>
    </row>
    <row r="339" spans="21:22">
      <c r="U339" s="304"/>
      <c r="V339" s="304"/>
    </row>
    <row r="340" spans="21:22">
      <c r="U340" s="304"/>
      <c r="V340" s="304"/>
    </row>
    <row r="341" spans="21:22">
      <c r="U341" s="304"/>
      <c r="V341" s="304"/>
    </row>
    <row r="342" spans="21:22">
      <c r="U342" s="304"/>
      <c r="V342" s="304"/>
    </row>
    <row r="343" spans="21:22">
      <c r="U343" s="304"/>
      <c r="V343" s="304"/>
    </row>
    <row r="344" spans="21:22">
      <c r="U344" s="304"/>
      <c r="V344" s="304"/>
    </row>
    <row r="345" spans="21:22">
      <c r="U345" s="304"/>
      <c r="V345" s="304"/>
    </row>
    <row r="346" spans="21:22">
      <c r="U346" s="304"/>
      <c r="V346" s="304"/>
    </row>
    <row r="347" spans="21:22">
      <c r="U347" s="304"/>
      <c r="V347" s="304"/>
    </row>
    <row r="348" spans="21:22">
      <c r="U348" s="304"/>
      <c r="V348" s="304"/>
    </row>
    <row r="349" spans="21:22">
      <c r="U349" s="304"/>
      <c r="V349" s="304"/>
    </row>
    <row r="350" spans="21:22">
      <c r="U350" s="304"/>
      <c r="V350" s="304"/>
    </row>
    <row r="351" spans="21:22">
      <c r="U351" s="304"/>
      <c r="V351" s="304"/>
    </row>
    <row r="352" spans="21:22">
      <c r="U352" s="304"/>
      <c r="V352" s="304"/>
    </row>
    <row r="353" spans="21:22">
      <c r="U353" s="304"/>
      <c r="V353" s="304"/>
    </row>
    <row r="354" spans="21:22">
      <c r="U354" s="304"/>
      <c r="V354" s="304"/>
    </row>
    <row r="355" spans="21:22">
      <c r="U355" s="304"/>
      <c r="V355" s="304"/>
    </row>
    <row r="356" spans="21:22">
      <c r="U356" s="304"/>
      <c r="V356" s="304"/>
    </row>
    <row r="357" spans="21:22">
      <c r="U357" s="304"/>
      <c r="V357" s="304"/>
    </row>
    <row r="358" spans="21:22">
      <c r="U358" s="304"/>
      <c r="V358" s="304"/>
    </row>
    <row r="359" spans="21:22">
      <c r="U359" s="304"/>
      <c r="V359" s="304"/>
    </row>
    <row r="360" spans="21:22">
      <c r="U360" s="304"/>
      <c r="V360" s="304"/>
    </row>
    <row r="361" spans="21:22">
      <c r="U361" s="304"/>
      <c r="V361" s="304"/>
    </row>
    <row r="362" spans="21:22">
      <c r="U362" s="304"/>
      <c r="V362" s="304"/>
    </row>
    <row r="363" spans="21:22">
      <c r="U363" s="304"/>
      <c r="V363" s="304"/>
    </row>
    <row r="364" spans="21:22">
      <c r="U364" s="304"/>
      <c r="V364" s="304"/>
    </row>
    <row r="365" spans="21:22">
      <c r="U365" s="304"/>
      <c r="V365" s="304"/>
    </row>
    <row r="366" spans="21:22">
      <c r="U366" s="304"/>
      <c r="V366" s="304"/>
    </row>
    <row r="367" spans="21:22">
      <c r="U367" s="304"/>
      <c r="V367" s="304"/>
    </row>
    <row r="368" spans="21:22">
      <c r="U368" s="304"/>
      <c r="V368" s="304"/>
    </row>
    <row r="369" spans="21:22">
      <c r="U369" s="304"/>
      <c r="V369" s="304"/>
    </row>
    <row r="370" spans="21:22">
      <c r="U370" s="304"/>
      <c r="V370" s="304"/>
    </row>
    <row r="371" spans="21:22">
      <c r="U371" s="304"/>
      <c r="V371" s="304"/>
    </row>
    <row r="372" spans="21:22">
      <c r="U372" s="304"/>
      <c r="V372" s="304"/>
    </row>
    <row r="373" spans="21:22">
      <c r="U373" s="304"/>
      <c r="V373" s="304"/>
    </row>
    <row r="374" spans="21:22">
      <c r="U374" s="304"/>
      <c r="V374" s="304"/>
    </row>
    <row r="375" spans="21:22">
      <c r="U375" s="304"/>
      <c r="V375" s="304"/>
    </row>
    <row r="376" spans="21:22">
      <c r="U376" s="304"/>
      <c r="V376" s="304"/>
    </row>
    <row r="377" spans="21:22">
      <c r="U377" s="304"/>
      <c r="V377" s="304"/>
    </row>
    <row r="378" spans="21:22">
      <c r="U378" s="304"/>
      <c r="V378" s="304"/>
    </row>
    <row r="379" spans="21:22">
      <c r="U379" s="304"/>
      <c r="V379" s="304"/>
    </row>
    <row r="380" spans="21:22">
      <c r="U380" s="304"/>
      <c r="V380" s="304"/>
    </row>
    <row r="381" spans="21:22">
      <c r="U381" s="304"/>
      <c r="V381" s="304"/>
    </row>
    <row r="382" spans="21:22">
      <c r="U382" s="304"/>
      <c r="V382" s="304"/>
    </row>
    <row r="383" spans="21:22">
      <c r="U383" s="304"/>
      <c r="V383" s="304"/>
    </row>
    <row r="384" spans="21:22">
      <c r="U384" s="304"/>
      <c r="V384" s="304"/>
    </row>
    <row r="385" spans="21:22">
      <c r="U385" s="304"/>
      <c r="V385" s="304"/>
    </row>
    <row r="386" spans="21:22">
      <c r="U386" s="304"/>
      <c r="V386" s="304"/>
    </row>
    <row r="387" spans="21:22">
      <c r="U387" s="304"/>
      <c r="V387" s="304"/>
    </row>
    <row r="388" spans="21:22">
      <c r="U388" s="304"/>
      <c r="V388" s="304"/>
    </row>
    <row r="389" spans="21:22">
      <c r="U389" s="304"/>
      <c r="V389" s="304"/>
    </row>
    <row r="390" spans="21:22">
      <c r="U390" s="304"/>
      <c r="V390" s="304"/>
    </row>
    <row r="391" spans="21:22">
      <c r="U391" s="304"/>
      <c r="V391" s="304"/>
    </row>
    <row r="392" spans="21:22">
      <c r="U392" s="304"/>
      <c r="V392" s="304"/>
    </row>
    <row r="393" spans="21:22">
      <c r="U393" s="304"/>
      <c r="V393" s="304"/>
    </row>
    <row r="394" spans="21:22">
      <c r="U394" s="304"/>
      <c r="V394" s="304"/>
    </row>
    <row r="395" spans="21:22">
      <c r="U395" s="304"/>
      <c r="V395" s="304"/>
    </row>
    <row r="396" spans="21:22">
      <c r="U396" s="304"/>
      <c r="V396" s="304"/>
    </row>
    <row r="397" spans="21:22">
      <c r="U397" s="304"/>
      <c r="V397" s="304"/>
    </row>
    <row r="398" spans="21:22">
      <c r="U398" s="304"/>
      <c r="V398" s="304"/>
    </row>
    <row r="399" spans="21:22">
      <c r="U399" s="304"/>
      <c r="V399" s="304"/>
    </row>
    <row r="400" spans="21:22">
      <c r="U400" s="304"/>
      <c r="V400" s="304"/>
    </row>
    <row r="401" spans="21:22">
      <c r="U401" s="304"/>
      <c r="V401" s="304"/>
    </row>
    <row r="402" spans="21:22">
      <c r="U402" s="304"/>
      <c r="V402" s="304"/>
    </row>
    <row r="403" spans="21:22">
      <c r="U403" s="304"/>
      <c r="V403" s="304"/>
    </row>
    <row r="404" spans="21:22">
      <c r="U404" s="304"/>
      <c r="V404" s="304"/>
    </row>
    <row r="405" spans="21:22">
      <c r="U405" s="304"/>
      <c r="V405" s="304"/>
    </row>
    <row r="406" spans="21:22">
      <c r="U406" s="304"/>
      <c r="V406" s="304"/>
    </row>
    <row r="407" spans="21:22">
      <c r="U407" s="304"/>
      <c r="V407" s="304"/>
    </row>
    <row r="408" spans="21:22">
      <c r="U408" s="304"/>
      <c r="V408" s="304"/>
    </row>
    <row r="409" spans="21:22">
      <c r="U409" s="304"/>
      <c r="V409" s="304"/>
    </row>
    <row r="410" spans="21:22">
      <c r="U410" s="304"/>
      <c r="V410" s="304"/>
    </row>
    <row r="411" spans="21:22">
      <c r="U411" s="304"/>
      <c r="V411" s="304"/>
    </row>
    <row r="412" spans="21:22">
      <c r="U412" s="304"/>
      <c r="V412" s="304"/>
    </row>
    <row r="413" spans="21:22">
      <c r="U413" s="304"/>
      <c r="V413" s="304"/>
    </row>
    <row r="414" spans="21:22">
      <c r="U414" s="304"/>
      <c r="V414" s="304"/>
    </row>
    <row r="415" spans="21:22">
      <c r="U415" s="304"/>
      <c r="V415" s="304"/>
    </row>
    <row r="416" spans="21:22">
      <c r="U416" s="304"/>
      <c r="V416" s="304"/>
    </row>
    <row r="417" spans="21:22">
      <c r="U417" s="304"/>
      <c r="V417" s="304"/>
    </row>
    <row r="418" spans="21:22">
      <c r="U418" s="304"/>
      <c r="V418" s="304"/>
    </row>
    <row r="419" spans="21:22">
      <c r="U419" s="304"/>
      <c r="V419" s="304"/>
    </row>
    <row r="420" spans="21:22">
      <c r="U420" s="304"/>
      <c r="V420" s="304"/>
    </row>
    <row r="421" spans="21:22">
      <c r="U421" s="304"/>
      <c r="V421" s="304"/>
    </row>
    <row r="422" spans="21:22">
      <c r="U422" s="304"/>
      <c r="V422" s="304"/>
    </row>
    <row r="423" spans="21:22">
      <c r="U423" s="304"/>
      <c r="V423" s="304"/>
    </row>
    <row r="424" spans="21:22">
      <c r="U424" s="304"/>
      <c r="V424" s="304"/>
    </row>
    <row r="425" spans="21:22">
      <c r="U425" s="304"/>
      <c r="V425" s="304"/>
    </row>
    <row r="426" spans="21:22">
      <c r="U426" s="304"/>
      <c r="V426" s="304"/>
    </row>
    <row r="427" spans="21:22">
      <c r="U427" s="304"/>
      <c r="V427" s="304"/>
    </row>
    <row r="428" spans="21:22">
      <c r="U428" s="304"/>
      <c r="V428" s="304"/>
    </row>
    <row r="429" spans="21:22">
      <c r="U429" s="304"/>
      <c r="V429" s="304"/>
    </row>
    <row r="430" spans="21:22">
      <c r="U430" s="304"/>
      <c r="V430" s="304"/>
    </row>
    <row r="431" spans="21:22">
      <c r="U431" s="304"/>
      <c r="V431" s="304"/>
    </row>
    <row r="432" spans="21:22">
      <c r="U432" s="304"/>
      <c r="V432" s="304"/>
    </row>
    <row r="433" spans="21:22">
      <c r="U433" s="304"/>
      <c r="V433" s="304"/>
    </row>
    <row r="434" spans="21:22">
      <c r="U434" s="304"/>
      <c r="V434" s="304"/>
    </row>
    <row r="435" spans="21:22">
      <c r="U435" s="304"/>
      <c r="V435" s="304"/>
    </row>
    <row r="436" spans="21:22">
      <c r="U436" s="304"/>
      <c r="V436" s="304"/>
    </row>
    <row r="437" spans="21:22">
      <c r="U437" s="304"/>
      <c r="V437" s="304"/>
    </row>
    <row r="438" spans="21:22">
      <c r="U438" s="304"/>
      <c r="V438" s="304"/>
    </row>
    <row r="439" spans="21:22">
      <c r="U439" s="304"/>
      <c r="V439" s="304"/>
    </row>
    <row r="440" spans="21:22">
      <c r="U440" s="304"/>
      <c r="V440" s="304"/>
    </row>
    <row r="441" spans="21:22">
      <c r="U441" s="304"/>
      <c r="V441" s="304"/>
    </row>
    <row r="442" spans="21:22">
      <c r="U442" s="304"/>
      <c r="V442" s="304"/>
    </row>
    <row r="443" spans="21:22">
      <c r="U443" s="304"/>
      <c r="V443" s="304"/>
    </row>
    <row r="444" spans="21:22">
      <c r="U444" s="304"/>
      <c r="V444" s="304"/>
    </row>
    <row r="445" spans="21:22">
      <c r="U445" s="304"/>
      <c r="V445" s="304"/>
    </row>
    <row r="446" spans="21:22">
      <c r="U446" s="304"/>
      <c r="V446" s="304"/>
    </row>
    <row r="447" spans="21:22">
      <c r="U447" s="304"/>
      <c r="V447" s="304"/>
    </row>
    <row r="448" spans="21:22">
      <c r="U448" s="304"/>
      <c r="V448" s="304"/>
    </row>
    <row r="449" spans="21:22">
      <c r="U449" s="304"/>
      <c r="V449" s="304"/>
    </row>
    <row r="450" spans="21:22">
      <c r="U450" s="304"/>
      <c r="V450" s="304"/>
    </row>
    <row r="451" spans="21:22">
      <c r="U451" s="304"/>
      <c r="V451" s="304"/>
    </row>
    <row r="452" spans="21:22">
      <c r="U452" s="304"/>
      <c r="V452" s="304"/>
    </row>
    <row r="453" spans="21:22">
      <c r="U453" s="304"/>
      <c r="V453" s="304"/>
    </row>
    <row r="454" spans="21:22">
      <c r="U454" s="304"/>
      <c r="V454" s="304"/>
    </row>
    <row r="455" spans="21:22">
      <c r="U455" s="304"/>
      <c r="V455" s="304"/>
    </row>
    <row r="456" spans="21:22">
      <c r="U456" s="304"/>
      <c r="V456" s="304"/>
    </row>
    <row r="457" spans="21:22">
      <c r="U457" s="304"/>
      <c r="V457" s="304"/>
    </row>
    <row r="458" spans="21:22">
      <c r="U458" s="304"/>
      <c r="V458" s="304"/>
    </row>
    <row r="459" spans="21:22">
      <c r="U459" s="304"/>
      <c r="V459" s="304"/>
    </row>
    <row r="460" spans="21:22">
      <c r="U460" s="304"/>
      <c r="V460" s="304"/>
    </row>
    <row r="461" spans="21:22">
      <c r="U461" s="304"/>
      <c r="V461" s="304"/>
    </row>
    <row r="462" spans="21:22">
      <c r="U462" s="304"/>
      <c r="V462" s="304"/>
    </row>
    <row r="463" spans="21:22">
      <c r="U463" s="304"/>
      <c r="V463" s="304"/>
    </row>
    <row r="464" spans="21:22">
      <c r="U464" s="304"/>
      <c r="V464" s="304"/>
    </row>
    <row r="465" spans="21:22">
      <c r="U465" s="304"/>
      <c r="V465" s="304"/>
    </row>
    <row r="466" spans="21:22">
      <c r="U466" s="304"/>
      <c r="V466" s="304"/>
    </row>
    <row r="467" spans="21:22">
      <c r="U467" s="304"/>
      <c r="V467" s="304"/>
    </row>
    <row r="468" spans="21:22">
      <c r="U468" s="304"/>
      <c r="V468" s="304"/>
    </row>
    <row r="469" spans="21:22">
      <c r="U469" s="304"/>
      <c r="V469" s="304"/>
    </row>
    <row r="470" spans="21:22">
      <c r="U470" s="304"/>
      <c r="V470" s="304"/>
    </row>
    <row r="471" spans="21:22">
      <c r="U471" s="304"/>
      <c r="V471" s="304"/>
    </row>
    <row r="472" spans="21:22">
      <c r="U472" s="304"/>
      <c r="V472" s="304"/>
    </row>
    <row r="473" spans="21:22">
      <c r="U473" s="304"/>
      <c r="V473" s="304"/>
    </row>
    <row r="474" spans="21:22">
      <c r="U474" s="304"/>
      <c r="V474" s="304"/>
    </row>
    <row r="475" spans="21:22">
      <c r="U475" s="304"/>
      <c r="V475" s="304"/>
    </row>
    <row r="476" spans="21:22">
      <c r="U476" s="304"/>
      <c r="V476" s="304"/>
    </row>
    <row r="477" spans="21:22">
      <c r="U477" s="304"/>
      <c r="V477" s="304"/>
    </row>
    <row r="478" spans="21:22">
      <c r="U478" s="304"/>
      <c r="V478" s="304"/>
    </row>
    <row r="479" spans="21:22">
      <c r="U479" s="304"/>
      <c r="V479" s="304"/>
    </row>
    <row r="480" spans="21:22">
      <c r="U480" s="304"/>
      <c r="V480" s="304"/>
    </row>
    <row r="481" spans="21:22">
      <c r="U481" s="304"/>
      <c r="V481" s="304"/>
    </row>
    <row r="482" spans="21:22">
      <c r="U482" s="304"/>
      <c r="V482" s="304"/>
    </row>
    <row r="483" spans="21:22">
      <c r="U483" s="304"/>
      <c r="V483" s="304"/>
    </row>
    <row r="484" spans="21:22">
      <c r="U484" s="304"/>
      <c r="V484" s="304"/>
    </row>
    <row r="485" spans="21:22">
      <c r="U485" s="304"/>
      <c r="V485" s="304"/>
    </row>
    <row r="486" spans="21:22">
      <c r="U486" s="304"/>
      <c r="V486" s="304"/>
    </row>
    <row r="487" spans="21:22">
      <c r="U487" s="304"/>
      <c r="V487" s="304"/>
    </row>
    <row r="488" spans="21:22">
      <c r="U488" s="304"/>
      <c r="V488" s="304"/>
    </row>
    <row r="489" spans="21:22">
      <c r="U489" s="304"/>
      <c r="V489" s="304"/>
    </row>
    <row r="490" spans="21:22">
      <c r="U490" s="304"/>
      <c r="V490" s="304"/>
    </row>
    <row r="491" spans="21:22">
      <c r="U491" s="304"/>
      <c r="V491" s="304"/>
    </row>
    <row r="492" spans="21:22">
      <c r="U492" s="304"/>
      <c r="V492" s="304"/>
    </row>
    <row r="493" spans="21:22">
      <c r="U493" s="304"/>
      <c r="V493" s="304"/>
    </row>
    <row r="494" spans="21:22">
      <c r="U494" s="304"/>
      <c r="V494" s="304"/>
    </row>
    <row r="495" spans="21:22">
      <c r="U495" s="304"/>
      <c r="V495" s="304"/>
    </row>
    <row r="496" spans="21:22">
      <c r="U496" s="304"/>
      <c r="V496" s="304"/>
    </row>
    <row r="497" spans="21:22">
      <c r="U497" s="304"/>
      <c r="V497" s="304"/>
    </row>
    <row r="498" spans="21:22">
      <c r="U498" s="304"/>
      <c r="V498" s="304"/>
    </row>
    <row r="499" spans="21:22">
      <c r="U499" s="304"/>
      <c r="V499" s="304"/>
    </row>
    <row r="500" spans="21:22">
      <c r="U500" s="304"/>
      <c r="V500" s="304"/>
    </row>
    <row r="501" spans="21:22">
      <c r="U501" s="304"/>
      <c r="V501" s="304"/>
    </row>
    <row r="502" spans="21:22">
      <c r="U502" s="304"/>
      <c r="V502" s="304"/>
    </row>
    <row r="503" spans="21:22">
      <c r="U503" s="304"/>
      <c r="V503" s="304"/>
    </row>
    <row r="504" spans="21:22">
      <c r="U504" s="304"/>
      <c r="V504" s="304"/>
    </row>
    <row r="505" spans="21:22">
      <c r="U505" s="304"/>
      <c r="V505" s="304"/>
    </row>
    <row r="506" spans="21:22">
      <c r="U506" s="304"/>
      <c r="V506" s="304"/>
    </row>
    <row r="507" spans="21:22">
      <c r="U507" s="304"/>
      <c r="V507" s="304"/>
    </row>
    <row r="508" spans="21:22">
      <c r="U508" s="304"/>
      <c r="V508" s="304"/>
    </row>
    <row r="509" spans="21:22">
      <c r="U509" s="304"/>
      <c r="V509" s="304"/>
    </row>
    <row r="510" spans="21:22">
      <c r="U510" s="304"/>
      <c r="V510" s="304"/>
    </row>
    <row r="511" spans="21:22">
      <c r="U511" s="304"/>
      <c r="V511" s="304"/>
    </row>
    <row r="512" spans="21:22">
      <c r="U512" s="304"/>
      <c r="V512" s="304"/>
    </row>
    <row r="513" spans="21:22">
      <c r="U513" s="304"/>
      <c r="V513" s="304"/>
    </row>
    <row r="514" spans="21:22">
      <c r="U514" s="304"/>
      <c r="V514" s="304"/>
    </row>
    <row r="515" spans="21:22">
      <c r="U515" s="304"/>
      <c r="V515" s="304"/>
    </row>
    <row r="516" spans="21:22">
      <c r="U516" s="304"/>
      <c r="V516" s="304"/>
    </row>
    <row r="517" spans="21:22">
      <c r="U517" s="304"/>
      <c r="V517" s="304"/>
    </row>
    <row r="518" spans="21:22">
      <c r="U518" s="304"/>
      <c r="V518" s="304"/>
    </row>
    <row r="519" spans="21:22">
      <c r="U519" s="304"/>
      <c r="V519" s="304"/>
    </row>
    <row r="520" spans="21:22">
      <c r="U520" s="304"/>
      <c r="V520" s="304"/>
    </row>
    <row r="521" spans="21:22">
      <c r="U521" s="304"/>
      <c r="V521" s="304"/>
    </row>
    <row r="522" spans="21:22">
      <c r="U522" s="304"/>
      <c r="V522" s="304"/>
    </row>
    <row r="523" spans="21:22">
      <c r="U523" s="304"/>
      <c r="V523" s="304"/>
    </row>
    <row r="524" spans="21:22">
      <c r="U524" s="304"/>
      <c r="V524" s="304"/>
    </row>
    <row r="525" spans="21:22">
      <c r="U525" s="304"/>
      <c r="V525" s="304"/>
    </row>
    <row r="526" spans="21:22">
      <c r="U526" s="304"/>
      <c r="V526" s="304"/>
    </row>
    <row r="527" spans="21:22">
      <c r="U527" s="304"/>
      <c r="V527" s="304"/>
    </row>
    <row r="528" spans="21:22">
      <c r="U528" s="304"/>
      <c r="V528" s="304"/>
    </row>
    <row r="529" spans="21:22">
      <c r="U529" s="304"/>
      <c r="V529" s="304"/>
    </row>
    <row r="530" spans="21:22">
      <c r="U530" s="304"/>
      <c r="V530" s="304"/>
    </row>
    <row r="531" spans="21:22">
      <c r="U531" s="304"/>
      <c r="V531" s="304"/>
    </row>
    <row r="532" spans="21:22">
      <c r="U532" s="304"/>
      <c r="V532" s="304"/>
    </row>
    <row r="533" spans="21:22">
      <c r="U533" s="304"/>
      <c r="V533" s="304"/>
    </row>
    <row r="534" spans="21:22">
      <c r="U534" s="304"/>
      <c r="V534" s="304"/>
    </row>
    <row r="535" spans="21:22">
      <c r="U535" s="304"/>
      <c r="V535" s="304"/>
    </row>
    <row r="536" spans="21:22">
      <c r="U536" s="304"/>
      <c r="V536" s="304"/>
    </row>
    <row r="537" spans="21:22">
      <c r="U537" s="304"/>
      <c r="V537" s="304"/>
    </row>
    <row r="538" spans="21:22">
      <c r="U538" s="304"/>
      <c r="V538" s="304"/>
    </row>
    <row r="539" spans="21:22">
      <c r="U539" s="304"/>
      <c r="V539" s="304"/>
    </row>
    <row r="540" spans="21:22">
      <c r="U540" s="304"/>
      <c r="V540" s="304"/>
    </row>
    <row r="541" spans="21:22">
      <c r="U541" s="304"/>
      <c r="V541" s="304"/>
    </row>
    <row r="542" spans="21:22">
      <c r="U542" s="304"/>
      <c r="V542" s="304"/>
    </row>
    <row r="543" spans="21:22">
      <c r="U543" s="304"/>
      <c r="V543" s="304"/>
    </row>
    <row r="544" spans="21:22">
      <c r="U544" s="304"/>
      <c r="V544" s="304"/>
    </row>
    <row r="545" spans="21:22">
      <c r="U545" s="304"/>
      <c r="V545" s="304"/>
    </row>
    <row r="546" spans="21:22">
      <c r="U546" s="304"/>
      <c r="V546" s="304"/>
    </row>
    <row r="547" spans="21:22">
      <c r="U547" s="304"/>
      <c r="V547" s="304"/>
    </row>
    <row r="548" spans="21:22">
      <c r="U548" s="304"/>
      <c r="V548" s="304"/>
    </row>
    <row r="549" spans="21:22">
      <c r="U549" s="304"/>
      <c r="V549" s="304"/>
    </row>
    <row r="550" spans="21:22">
      <c r="U550" s="304"/>
      <c r="V550" s="304"/>
    </row>
    <row r="551" spans="21:22">
      <c r="U551" s="304"/>
      <c r="V551" s="304"/>
    </row>
    <row r="552" spans="21:22">
      <c r="U552" s="304"/>
      <c r="V552" s="304"/>
    </row>
    <row r="553" spans="21:22">
      <c r="U553" s="304"/>
      <c r="V553" s="304"/>
    </row>
    <row r="554" spans="21:22">
      <c r="U554" s="304"/>
      <c r="V554" s="304"/>
    </row>
    <row r="555" spans="21:22">
      <c r="U555" s="304"/>
      <c r="V555" s="304"/>
    </row>
    <row r="556" spans="21:22">
      <c r="U556" s="304"/>
      <c r="V556" s="304"/>
    </row>
    <row r="557" spans="21:22">
      <c r="U557" s="304"/>
      <c r="V557" s="304"/>
    </row>
    <row r="558" spans="21:22">
      <c r="U558" s="304"/>
      <c r="V558" s="304"/>
    </row>
    <row r="559" spans="21:22">
      <c r="U559" s="304"/>
      <c r="V559" s="304"/>
    </row>
    <row r="560" spans="21:22">
      <c r="U560" s="304"/>
      <c r="V560" s="304"/>
    </row>
    <row r="561" spans="21:22">
      <c r="U561" s="304"/>
      <c r="V561" s="304"/>
    </row>
    <row r="562" spans="21:22">
      <c r="U562" s="304"/>
      <c r="V562" s="304"/>
    </row>
    <row r="563" spans="21:22">
      <c r="U563" s="304"/>
      <c r="V563" s="304"/>
    </row>
    <row r="564" spans="21:22">
      <c r="U564" s="304"/>
      <c r="V564" s="304"/>
    </row>
    <row r="565" spans="21:22">
      <c r="U565" s="304"/>
      <c r="V565" s="304"/>
    </row>
    <row r="566" spans="21:22">
      <c r="U566" s="304"/>
      <c r="V566" s="304"/>
    </row>
    <row r="567" spans="21:22">
      <c r="U567" s="304"/>
      <c r="V567" s="304"/>
    </row>
    <row r="568" spans="21:22">
      <c r="U568" s="304"/>
      <c r="V568" s="304"/>
    </row>
    <row r="569" spans="21:22">
      <c r="U569" s="304"/>
      <c r="V569" s="304"/>
    </row>
    <row r="570" spans="21:22">
      <c r="U570" s="304"/>
      <c r="V570" s="304"/>
    </row>
    <row r="571" spans="21:22">
      <c r="U571" s="304"/>
      <c r="V571" s="304"/>
    </row>
    <row r="572" spans="21:22">
      <c r="U572" s="304"/>
      <c r="V572" s="304"/>
    </row>
    <row r="573" spans="21:22">
      <c r="U573" s="304"/>
      <c r="V573" s="304"/>
    </row>
    <row r="574" spans="21:22">
      <c r="U574" s="304"/>
      <c r="V574" s="304"/>
    </row>
    <row r="575" spans="21:22">
      <c r="U575" s="304"/>
      <c r="V575" s="304"/>
    </row>
    <row r="576" spans="21:22">
      <c r="U576" s="304"/>
      <c r="V576" s="304"/>
    </row>
    <row r="577" spans="21:22">
      <c r="U577" s="304"/>
      <c r="V577" s="304"/>
    </row>
    <row r="578" spans="21:22">
      <c r="U578" s="304"/>
      <c r="V578" s="304"/>
    </row>
    <row r="579" spans="21:22">
      <c r="U579" s="304"/>
      <c r="V579" s="304"/>
    </row>
    <row r="580" spans="21:22">
      <c r="U580" s="304"/>
      <c r="V580" s="304"/>
    </row>
    <row r="581" spans="21:22">
      <c r="U581" s="304"/>
      <c r="V581" s="304"/>
    </row>
    <row r="582" spans="21:22">
      <c r="U582" s="304"/>
      <c r="V582" s="304"/>
    </row>
    <row r="583" spans="21:22">
      <c r="U583" s="304"/>
      <c r="V583" s="304"/>
    </row>
    <row r="584" spans="21:22">
      <c r="U584" s="304"/>
      <c r="V584" s="304"/>
    </row>
    <row r="585" spans="21:22">
      <c r="U585" s="304"/>
      <c r="V585" s="304"/>
    </row>
    <row r="586" spans="21:22">
      <c r="U586" s="304"/>
      <c r="V586" s="304"/>
    </row>
    <row r="587" spans="21:22">
      <c r="U587" s="304"/>
      <c r="V587" s="304"/>
    </row>
    <row r="588" spans="21:22">
      <c r="U588" s="304"/>
      <c r="V588" s="304"/>
    </row>
    <row r="589" spans="21:22">
      <c r="U589" s="304"/>
      <c r="V589" s="304"/>
    </row>
    <row r="590" spans="21:22">
      <c r="U590" s="304"/>
      <c r="V590" s="304"/>
    </row>
    <row r="591" spans="21:22">
      <c r="U591" s="304"/>
      <c r="V591" s="304"/>
    </row>
    <row r="592" spans="21:22">
      <c r="U592" s="304"/>
      <c r="V592" s="304"/>
    </row>
    <row r="593" spans="21:22">
      <c r="U593" s="304"/>
      <c r="V593" s="304"/>
    </row>
    <row r="594" spans="21:22">
      <c r="U594" s="304"/>
      <c r="V594" s="304"/>
    </row>
    <row r="595" spans="21:22">
      <c r="U595" s="304"/>
      <c r="V595" s="304"/>
    </row>
    <row r="596" spans="21:22">
      <c r="U596" s="304"/>
      <c r="V596" s="304"/>
    </row>
    <row r="597" spans="21:22">
      <c r="U597" s="304"/>
      <c r="V597" s="304"/>
    </row>
    <row r="598" spans="21:22">
      <c r="U598" s="304"/>
      <c r="V598" s="304"/>
    </row>
    <row r="599" spans="21:22">
      <c r="U599" s="304"/>
      <c r="V599" s="304"/>
    </row>
    <row r="600" spans="21:22">
      <c r="U600" s="304"/>
      <c r="V600" s="304"/>
    </row>
    <row r="601" spans="21:22">
      <c r="U601" s="304"/>
      <c r="V601" s="304"/>
    </row>
    <row r="602" spans="21:22">
      <c r="U602" s="304"/>
      <c r="V602" s="304"/>
    </row>
    <row r="603" spans="21:22">
      <c r="U603" s="304"/>
      <c r="V603" s="304"/>
    </row>
    <row r="604" spans="21:22">
      <c r="U604" s="304"/>
      <c r="V604" s="304"/>
    </row>
    <row r="605" spans="21:22">
      <c r="U605" s="304"/>
      <c r="V605" s="304"/>
    </row>
    <row r="606" spans="21:22">
      <c r="U606" s="304"/>
      <c r="V606" s="304"/>
    </row>
    <row r="607" spans="21:22">
      <c r="U607" s="304"/>
      <c r="V607" s="304"/>
    </row>
    <row r="608" spans="21:22">
      <c r="U608" s="304"/>
      <c r="V608" s="304"/>
    </row>
    <row r="609" spans="21:22">
      <c r="U609" s="304"/>
      <c r="V609" s="304"/>
    </row>
    <row r="610" spans="21:22">
      <c r="U610" s="304"/>
      <c r="V610" s="304"/>
    </row>
    <row r="611" spans="21:22">
      <c r="U611" s="304"/>
      <c r="V611" s="304"/>
    </row>
    <row r="612" spans="21:22">
      <c r="U612" s="304"/>
      <c r="V612" s="304"/>
    </row>
    <row r="613" spans="21:22">
      <c r="U613" s="304"/>
      <c r="V613" s="304"/>
    </row>
    <row r="614" spans="21:22">
      <c r="U614" s="304"/>
      <c r="V614" s="304"/>
    </row>
    <row r="615" spans="21:22">
      <c r="U615" s="304"/>
      <c r="V615" s="304"/>
    </row>
    <row r="616" spans="21:22">
      <c r="U616" s="304"/>
      <c r="V616" s="304"/>
    </row>
    <row r="617" spans="21:22">
      <c r="U617" s="304"/>
      <c r="V617" s="304"/>
    </row>
    <row r="618" spans="21:22">
      <c r="U618" s="304"/>
      <c r="V618" s="304"/>
    </row>
    <row r="619" spans="21:22">
      <c r="U619" s="304"/>
      <c r="V619" s="304"/>
    </row>
    <row r="620" spans="21:22">
      <c r="U620" s="304"/>
      <c r="V620" s="304"/>
    </row>
    <row r="621" spans="21:22">
      <c r="U621" s="304"/>
      <c r="V621" s="304"/>
    </row>
    <row r="622" spans="21:22">
      <c r="U622" s="304"/>
      <c r="V622" s="304"/>
    </row>
    <row r="623" spans="21:22">
      <c r="U623" s="304"/>
      <c r="V623" s="304"/>
    </row>
    <row r="624" spans="21:22">
      <c r="U624" s="304"/>
      <c r="V624" s="304"/>
    </row>
    <row r="625" spans="21:22">
      <c r="U625" s="304"/>
      <c r="V625" s="304"/>
    </row>
    <row r="626" spans="21:22">
      <c r="U626" s="304"/>
      <c r="V626" s="304"/>
    </row>
    <row r="627" spans="21:22">
      <c r="U627" s="304"/>
      <c r="V627" s="304"/>
    </row>
    <row r="628" spans="21:22">
      <c r="U628" s="304"/>
      <c r="V628" s="304"/>
    </row>
    <row r="629" spans="21:22">
      <c r="U629" s="304"/>
      <c r="V629" s="304"/>
    </row>
    <row r="630" spans="21:22">
      <c r="U630" s="304"/>
      <c r="V630" s="304"/>
    </row>
    <row r="631" spans="21:22">
      <c r="U631" s="304"/>
      <c r="V631" s="304"/>
    </row>
    <row r="632" spans="21:22">
      <c r="U632" s="304"/>
      <c r="V632" s="304"/>
    </row>
    <row r="633" spans="21:22">
      <c r="U633" s="304"/>
      <c r="V633" s="304"/>
    </row>
    <row r="634" spans="21:22">
      <c r="U634" s="304"/>
      <c r="V634" s="304"/>
    </row>
    <row r="635" spans="21:22">
      <c r="U635" s="304"/>
      <c r="V635" s="304"/>
    </row>
    <row r="636" spans="21:22">
      <c r="U636" s="304"/>
      <c r="V636" s="304"/>
    </row>
    <row r="637" spans="21:22">
      <c r="U637" s="304"/>
      <c r="V637" s="304"/>
    </row>
    <row r="638" spans="21:22">
      <c r="U638" s="304"/>
      <c r="V638" s="304"/>
    </row>
    <row r="639" spans="21:22">
      <c r="U639" s="304"/>
      <c r="V639" s="304"/>
    </row>
    <row r="640" spans="21:22">
      <c r="U640" s="304"/>
      <c r="V640" s="304"/>
    </row>
    <row r="641" spans="21:22">
      <c r="U641" s="304"/>
      <c r="V641" s="304"/>
    </row>
    <row r="642" spans="21:22">
      <c r="U642" s="304"/>
      <c r="V642" s="304"/>
    </row>
    <row r="643" spans="21:22">
      <c r="U643" s="304"/>
      <c r="V643" s="304"/>
    </row>
    <row r="644" spans="21:22">
      <c r="U644" s="304"/>
      <c r="V644" s="304"/>
    </row>
    <row r="645" spans="21:22">
      <c r="U645" s="304"/>
      <c r="V645" s="304"/>
    </row>
    <row r="646" spans="21:22">
      <c r="U646" s="304"/>
      <c r="V646" s="304"/>
    </row>
    <row r="647" spans="21:22">
      <c r="U647" s="304"/>
      <c r="V647" s="304"/>
    </row>
    <row r="648" spans="21:22">
      <c r="U648" s="304"/>
      <c r="V648" s="304"/>
    </row>
    <row r="649" spans="21:22">
      <c r="U649" s="304"/>
      <c r="V649" s="304"/>
    </row>
    <row r="650" spans="21:22">
      <c r="U650" s="304"/>
      <c r="V650" s="304"/>
    </row>
    <row r="651" spans="21:22">
      <c r="U651" s="304"/>
      <c r="V651" s="304"/>
    </row>
    <row r="652" spans="21:22">
      <c r="U652" s="304"/>
      <c r="V652" s="304"/>
    </row>
    <row r="653" spans="21:22">
      <c r="U653" s="304"/>
      <c r="V653" s="304"/>
    </row>
    <row r="654" spans="21:22">
      <c r="U654" s="304"/>
      <c r="V654" s="304"/>
    </row>
    <row r="655" spans="21:22">
      <c r="U655" s="304"/>
      <c r="V655" s="304"/>
    </row>
    <row r="656" spans="21:22">
      <c r="U656" s="304"/>
      <c r="V656" s="304"/>
    </row>
    <row r="657" spans="21:22">
      <c r="U657" s="304"/>
      <c r="V657" s="304"/>
    </row>
    <row r="658" spans="21:22">
      <c r="U658" s="304"/>
      <c r="V658" s="304"/>
    </row>
    <row r="659" spans="21:22">
      <c r="U659" s="304"/>
      <c r="V659" s="304"/>
    </row>
    <row r="660" spans="21:22">
      <c r="U660" s="304"/>
      <c r="V660" s="304"/>
    </row>
    <row r="661" spans="21:22">
      <c r="U661" s="304"/>
      <c r="V661" s="304"/>
    </row>
    <row r="662" spans="21:22">
      <c r="U662" s="304"/>
      <c r="V662" s="304"/>
    </row>
    <row r="663" spans="21:22">
      <c r="U663" s="304"/>
      <c r="V663" s="304"/>
    </row>
    <row r="664" spans="21:22">
      <c r="U664" s="304"/>
      <c r="V664" s="304"/>
    </row>
    <row r="665" spans="21:22">
      <c r="U665" s="304"/>
      <c r="V665" s="304"/>
    </row>
    <row r="666" spans="21:22">
      <c r="U666" s="304"/>
      <c r="V666" s="304"/>
    </row>
    <row r="667" spans="21:22">
      <c r="U667" s="304"/>
      <c r="V667" s="304"/>
    </row>
    <row r="668" spans="21:22">
      <c r="U668" s="304"/>
      <c r="V668" s="304"/>
    </row>
    <row r="669" spans="21:22">
      <c r="U669" s="304"/>
      <c r="V669" s="304"/>
    </row>
    <row r="670" spans="21:22">
      <c r="U670" s="304"/>
      <c r="V670" s="304"/>
    </row>
    <row r="671" spans="21:22">
      <c r="U671" s="304"/>
      <c r="V671" s="304"/>
    </row>
    <row r="672" spans="21:22">
      <c r="U672" s="304"/>
      <c r="V672" s="304"/>
    </row>
    <row r="673" spans="21:22">
      <c r="U673" s="304"/>
      <c r="V673" s="304"/>
    </row>
    <row r="674" spans="21:22">
      <c r="U674" s="304"/>
      <c r="V674" s="304"/>
    </row>
    <row r="675" spans="21:22">
      <c r="U675" s="304"/>
      <c r="V675" s="304"/>
    </row>
    <row r="676" spans="21:22">
      <c r="U676" s="304"/>
      <c r="V676" s="304"/>
    </row>
    <row r="677" spans="21:22">
      <c r="U677" s="304"/>
      <c r="V677" s="304"/>
    </row>
    <row r="678" spans="21:22">
      <c r="U678" s="304"/>
      <c r="V678" s="304"/>
    </row>
    <row r="679" spans="21:22">
      <c r="U679" s="304"/>
      <c r="V679" s="304"/>
    </row>
    <row r="680" spans="21:22">
      <c r="U680" s="304"/>
      <c r="V680" s="304"/>
    </row>
    <row r="681" spans="21:22">
      <c r="U681" s="304"/>
      <c r="V681" s="304"/>
    </row>
    <row r="682" spans="21:22">
      <c r="U682" s="304"/>
      <c r="V682" s="304"/>
    </row>
    <row r="683" spans="21:22">
      <c r="U683" s="304"/>
      <c r="V683" s="304"/>
    </row>
    <row r="684" spans="21:22">
      <c r="U684" s="304"/>
      <c r="V684" s="304"/>
    </row>
    <row r="685" spans="21:22">
      <c r="U685" s="304"/>
      <c r="V685" s="304"/>
    </row>
    <row r="686" spans="21:22">
      <c r="U686" s="304"/>
      <c r="V686" s="304"/>
    </row>
    <row r="687" spans="21:22">
      <c r="U687" s="304"/>
      <c r="V687" s="304"/>
    </row>
    <row r="688" spans="21:22">
      <c r="U688" s="304"/>
      <c r="V688" s="304"/>
    </row>
    <row r="689" spans="21:22">
      <c r="U689" s="304"/>
      <c r="V689" s="304"/>
    </row>
    <row r="690" spans="21:22">
      <c r="U690" s="304"/>
      <c r="V690" s="304"/>
    </row>
    <row r="691" spans="21:22">
      <c r="U691" s="304"/>
      <c r="V691" s="304"/>
    </row>
    <row r="692" spans="21:22">
      <c r="U692" s="304"/>
      <c r="V692" s="304"/>
    </row>
    <row r="693" spans="21:22">
      <c r="U693" s="304"/>
      <c r="V693" s="304"/>
    </row>
    <row r="694" spans="21:22">
      <c r="U694" s="304"/>
      <c r="V694" s="304"/>
    </row>
    <row r="695" spans="21:22">
      <c r="U695" s="304"/>
      <c r="V695" s="304"/>
    </row>
    <row r="696" spans="21:22">
      <c r="U696" s="304"/>
      <c r="V696" s="304"/>
    </row>
    <row r="697" spans="21:22">
      <c r="U697" s="304"/>
      <c r="V697" s="304"/>
    </row>
    <row r="698" spans="21:22">
      <c r="U698" s="304"/>
      <c r="V698" s="304"/>
    </row>
    <row r="699" spans="21:22">
      <c r="U699" s="304"/>
      <c r="V699" s="304"/>
    </row>
    <row r="700" spans="21:22">
      <c r="U700" s="304"/>
      <c r="V700" s="304"/>
    </row>
    <row r="701" spans="21:22">
      <c r="U701" s="304"/>
      <c r="V701" s="304"/>
    </row>
    <row r="702" spans="21:22">
      <c r="U702" s="304"/>
      <c r="V702" s="304"/>
    </row>
    <row r="703" spans="21:22">
      <c r="U703" s="304"/>
      <c r="V703" s="304"/>
    </row>
    <row r="704" spans="21:22">
      <c r="U704" s="304"/>
      <c r="V704" s="304"/>
    </row>
    <row r="705" spans="21:22">
      <c r="U705" s="304"/>
      <c r="V705" s="304"/>
    </row>
    <row r="706" spans="21:22">
      <c r="U706" s="304"/>
      <c r="V706" s="304"/>
    </row>
    <row r="707" spans="21:22">
      <c r="U707" s="304"/>
      <c r="V707" s="304"/>
    </row>
    <row r="708" spans="21:22">
      <c r="U708" s="304"/>
      <c r="V708" s="304"/>
    </row>
    <row r="709" spans="21:22">
      <c r="U709" s="304"/>
      <c r="V709" s="304"/>
    </row>
    <row r="710" spans="21:22">
      <c r="U710" s="304"/>
      <c r="V710" s="304"/>
    </row>
    <row r="711" spans="21:22">
      <c r="U711" s="304"/>
      <c r="V711" s="304"/>
    </row>
    <row r="712" spans="21:22">
      <c r="U712" s="304"/>
      <c r="V712" s="304"/>
    </row>
    <row r="713" spans="21:22">
      <c r="U713" s="304"/>
      <c r="V713" s="304"/>
    </row>
    <row r="714" spans="21:22">
      <c r="U714" s="304"/>
      <c r="V714" s="304"/>
    </row>
    <row r="715" spans="21:22">
      <c r="U715" s="304"/>
      <c r="V715" s="304"/>
    </row>
    <row r="716" spans="21:22">
      <c r="U716" s="304"/>
      <c r="V716" s="304"/>
    </row>
    <row r="717" spans="21:22">
      <c r="U717" s="304"/>
      <c r="V717" s="304"/>
    </row>
    <row r="718" spans="21:22">
      <c r="U718" s="304"/>
      <c r="V718" s="304"/>
    </row>
    <row r="719" spans="21:22">
      <c r="U719" s="304"/>
      <c r="V719" s="304"/>
    </row>
    <row r="720" spans="21:22">
      <c r="U720" s="304"/>
      <c r="V720" s="304"/>
    </row>
    <row r="721" spans="21:22">
      <c r="U721" s="304"/>
      <c r="V721" s="304"/>
    </row>
    <row r="722" spans="21:22">
      <c r="U722" s="304"/>
      <c r="V722" s="304"/>
    </row>
    <row r="723" spans="21:22">
      <c r="U723" s="304"/>
      <c r="V723" s="304"/>
    </row>
    <row r="724" spans="21:22">
      <c r="U724" s="304"/>
      <c r="V724" s="304"/>
    </row>
    <row r="725" spans="21:22">
      <c r="U725" s="304"/>
      <c r="V725" s="304"/>
    </row>
    <row r="726" spans="21:22">
      <c r="U726" s="304"/>
      <c r="V726" s="304"/>
    </row>
    <row r="727" spans="21:22">
      <c r="U727" s="304"/>
      <c r="V727" s="304"/>
    </row>
    <row r="728" spans="21:22">
      <c r="U728" s="304"/>
      <c r="V728" s="304"/>
    </row>
    <row r="729" spans="21:22">
      <c r="U729" s="304"/>
      <c r="V729" s="304"/>
    </row>
    <row r="730" spans="21:22">
      <c r="U730" s="304"/>
      <c r="V730" s="304"/>
    </row>
    <row r="731" spans="21:22">
      <c r="U731" s="304"/>
      <c r="V731" s="304"/>
    </row>
    <row r="732" spans="21:22">
      <c r="U732" s="304"/>
      <c r="V732" s="304"/>
    </row>
    <row r="733" spans="21:22">
      <c r="U733" s="304"/>
      <c r="V733" s="304"/>
    </row>
    <row r="734" spans="21:22">
      <c r="U734" s="304"/>
      <c r="V734" s="304"/>
    </row>
    <row r="735" spans="21:22">
      <c r="U735" s="304"/>
      <c r="V735" s="304"/>
    </row>
    <row r="736" spans="21:22">
      <c r="U736" s="304"/>
      <c r="V736" s="304"/>
    </row>
    <row r="737" spans="21:22">
      <c r="U737" s="304"/>
      <c r="V737" s="304"/>
    </row>
    <row r="738" spans="21:22">
      <c r="U738" s="304"/>
      <c r="V738" s="304"/>
    </row>
    <row r="739" spans="21:22">
      <c r="U739" s="304"/>
      <c r="V739" s="304"/>
    </row>
    <row r="740" spans="21:22">
      <c r="U740" s="304"/>
      <c r="V740" s="304"/>
    </row>
    <row r="741" spans="21:22">
      <c r="U741" s="304"/>
      <c r="V741" s="304"/>
    </row>
    <row r="742" spans="21:22">
      <c r="U742" s="304"/>
      <c r="V742" s="304"/>
    </row>
    <row r="743" spans="21:22">
      <c r="U743" s="304"/>
      <c r="V743" s="304"/>
    </row>
    <row r="744" spans="21:22">
      <c r="U744" s="304"/>
      <c r="V744" s="304"/>
    </row>
    <row r="745" spans="21:22">
      <c r="U745" s="304"/>
      <c r="V745" s="304"/>
    </row>
    <row r="746" spans="21:22">
      <c r="U746" s="304"/>
      <c r="V746" s="304"/>
    </row>
    <row r="747" spans="21:22">
      <c r="U747" s="304"/>
      <c r="V747" s="304"/>
    </row>
    <row r="748" spans="21:22">
      <c r="U748" s="304"/>
      <c r="V748" s="304"/>
    </row>
    <row r="749" spans="21:22">
      <c r="U749" s="304"/>
      <c r="V749" s="304"/>
    </row>
    <row r="750" spans="21:22">
      <c r="U750" s="304"/>
      <c r="V750" s="304"/>
    </row>
    <row r="751" spans="21:22">
      <c r="U751" s="304"/>
      <c r="V751" s="304"/>
    </row>
    <row r="752" spans="21:22">
      <c r="U752" s="304"/>
      <c r="V752" s="304"/>
    </row>
    <row r="753" spans="21:22">
      <c r="U753" s="304"/>
      <c r="V753" s="304"/>
    </row>
    <row r="754" spans="21:22">
      <c r="U754" s="304"/>
      <c r="V754" s="304"/>
    </row>
    <row r="755" spans="21:22">
      <c r="U755" s="304"/>
      <c r="V755" s="304"/>
    </row>
    <row r="756" spans="21:22">
      <c r="U756" s="304"/>
      <c r="V756" s="304"/>
    </row>
    <row r="757" spans="21:22">
      <c r="U757" s="304"/>
      <c r="V757" s="304"/>
    </row>
    <row r="758" spans="21:22">
      <c r="U758" s="304"/>
      <c r="V758" s="304"/>
    </row>
    <row r="759" spans="21:22">
      <c r="U759" s="304"/>
      <c r="V759" s="304"/>
    </row>
    <row r="760" spans="21:22">
      <c r="U760" s="304"/>
      <c r="V760" s="304"/>
    </row>
    <row r="761" spans="21:22">
      <c r="U761" s="304"/>
      <c r="V761" s="304"/>
    </row>
    <row r="762" spans="21:22">
      <c r="U762" s="304"/>
      <c r="V762" s="304"/>
    </row>
    <row r="763" spans="21:22">
      <c r="U763" s="304"/>
      <c r="V763" s="304"/>
    </row>
    <row r="764" spans="21:22">
      <c r="U764" s="304"/>
      <c r="V764" s="304"/>
    </row>
    <row r="765" spans="21:22">
      <c r="U765" s="304"/>
      <c r="V765" s="304"/>
    </row>
    <row r="766" spans="21:22">
      <c r="U766" s="304"/>
      <c r="V766" s="304"/>
    </row>
    <row r="767" spans="21:22">
      <c r="U767" s="304"/>
      <c r="V767" s="304"/>
    </row>
    <row r="768" spans="21:22">
      <c r="U768" s="304"/>
      <c r="V768" s="304"/>
    </row>
    <row r="769" spans="21:22">
      <c r="U769" s="304"/>
      <c r="V769" s="304"/>
    </row>
    <row r="770" spans="21:22">
      <c r="U770" s="304"/>
      <c r="V770" s="304"/>
    </row>
    <row r="771" spans="21:22">
      <c r="U771" s="304"/>
      <c r="V771" s="304"/>
    </row>
    <row r="772" spans="21:22">
      <c r="U772" s="304"/>
      <c r="V772" s="304"/>
    </row>
    <row r="773" spans="21:22">
      <c r="U773" s="304"/>
      <c r="V773" s="304"/>
    </row>
    <row r="774" spans="21:22">
      <c r="U774" s="304"/>
      <c r="V774" s="304"/>
    </row>
    <row r="775" spans="21:22">
      <c r="U775" s="304"/>
      <c r="V775" s="304"/>
    </row>
    <row r="776" spans="21:22">
      <c r="U776" s="304"/>
      <c r="V776" s="304"/>
    </row>
    <row r="777" spans="21:22">
      <c r="U777" s="304"/>
      <c r="V777" s="304"/>
    </row>
    <row r="778" spans="21:22">
      <c r="U778" s="304"/>
      <c r="V778" s="304"/>
    </row>
    <row r="779" spans="21:22">
      <c r="U779" s="304"/>
      <c r="V779" s="304"/>
    </row>
    <row r="780" spans="21:22">
      <c r="U780" s="304"/>
      <c r="V780" s="304"/>
    </row>
    <row r="781" spans="21:22">
      <c r="U781" s="304"/>
      <c r="V781" s="304"/>
    </row>
    <row r="782" spans="21:22">
      <c r="U782" s="304"/>
      <c r="V782" s="304"/>
    </row>
    <row r="783" spans="21:22">
      <c r="U783" s="304"/>
      <c r="V783" s="304"/>
    </row>
    <row r="784" spans="21:22">
      <c r="U784" s="304"/>
      <c r="V784" s="304"/>
    </row>
    <row r="785" spans="21:22">
      <c r="U785" s="304"/>
      <c r="V785" s="304"/>
    </row>
    <row r="786" spans="21:22">
      <c r="U786" s="304"/>
      <c r="V786" s="304"/>
    </row>
    <row r="787" spans="21:22">
      <c r="U787" s="304"/>
      <c r="V787" s="304"/>
    </row>
    <row r="788" spans="21:22">
      <c r="U788" s="304"/>
      <c r="V788" s="304"/>
    </row>
    <row r="789" spans="21:22">
      <c r="U789" s="304"/>
      <c r="V789" s="304"/>
    </row>
    <row r="790" spans="21:22">
      <c r="U790" s="304"/>
      <c r="V790" s="304"/>
    </row>
    <row r="791" spans="21:22">
      <c r="U791" s="304"/>
      <c r="V791" s="304"/>
    </row>
    <row r="792" spans="21:22">
      <c r="U792" s="304"/>
      <c r="V792" s="304"/>
    </row>
    <row r="793" spans="21:22">
      <c r="U793" s="304"/>
      <c r="V793" s="304"/>
    </row>
    <row r="794" spans="21:22">
      <c r="U794" s="304"/>
      <c r="V794" s="304"/>
    </row>
    <row r="795" spans="21:22">
      <c r="U795" s="304"/>
      <c r="V795" s="304"/>
    </row>
    <row r="796" spans="21:22">
      <c r="U796" s="304"/>
      <c r="V796" s="304"/>
    </row>
    <row r="797" spans="21:22">
      <c r="U797" s="304"/>
      <c r="V797" s="304"/>
    </row>
    <row r="798" spans="21:22">
      <c r="U798" s="304"/>
      <c r="V798" s="304"/>
    </row>
    <row r="799" spans="21:22">
      <c r="U799" s="304"/>
      <c r="V799" s="304"/>
    </row>
    <row r="800" spans="21:22">
      <c r="U800" s="304"/>
      <c r="V800" s="304"/>
    </row>
    <row r="801" spans="21:22">
      <c r="U801" s="304"/>
      <c r="V801" s="304"/>
    </row>
    <row r="802" spans="21:22">
      <c r="U802" s="304"/>
      <c r="V802" s="304"/>
    </row>
    <row r="803" spans="21:22">
      <c r="U803" s="304"/>
      <c r="V803" s="304"/>
    </row>
    <row r="804" spans="21:22">
      <c r="U804" s="304"/>
      <c r="V804" s="304"/>
    </row>
    <row r="805" spans="21:22">
      <c r="U805" s="304"/>
      <c r="V805" s="304"/>
    </row>
    <row r="806" spans="21:22">
      <c r="U806" s="304"/>
      <c r="V806" s="304"/>
    </row>
    <row r="807" spans="21:22">
      <c r="U807" s="304"/>
      <c r="V807" s="304"/>
    </row>
    <row r="808" spans="21:22">
      <c r="U808" s="304"/>
      <c r="V808" s="304"/>
    </row>
    <row r="809" spans="21:22">
      <c r="U809" s="304"/>
      <c r="V809" s="304"/>
    </row>
    <row r="810" spans="21:22">
      <c r="U810" s="304"/>
      <c r="V810" s="304"/>
    </row>
    <row r="811" spans="21:22">
      <c r="U811" s="304"/>
      <c r="V811" s="304"/>
    </row>
    <row r="812" spans="21:22">
      <c r="U812" s="304"/>
      <c r="V812" s="304"/>
    </row>
    <row r="813" spans="21:22">
      <c r="U813" s="304"/>
      <c r="V813" s="304"/>
    </row>
    <row r="814" spans="21:22">
      <c r="U814" s="304"/>
      <c r="V814" s="304"/>
    </row>
    <row r="815" spans="21:22">
      <c r="U815" s="304"/>
      <c r="V815" s="304"/>
    </row>
    <row r="816" spans="21:22">
      <c r="U816" s="304"/>
      <c r="V816" s="304"/>
    </row>
    <row r="817" spans="21:22">
      <c r="U817" s="304"/>
      <c r="V817" s="304"/>
    </row>
    <row r="818" spans="21:22">
      <c r="U818" s="304"/>
      <c r="V818" s="304"/>
    </row>
    <row r="819" spans="21:22">
      <c r="U819" s="304"/>
      <c r="V819" s="304"/>
    </row>
    <row r="820" spans="21:22">
      <c r="U820" s="304"/>
      <c r="V820" s="304"/>
    </row>
    <row r="821" spans="21:22">
      <c r="U821" s="304"/>
      <c r="V821" s="304"/>
    </row>
    <row r="822" spans="21:22">
      <c r="U822" s="304"/>
      <c r="V822" s="304"/>
    </row>
    <row r="823" spans="21:22">
      <c r="U823" s="304"/>
      <c r="V823" s="304"/>
    </row>
    <row r="824" spans="21:22">
      <c r="U824" s="304"/>
      <c r="V824" s="304"/>
    </row>
    <row r="825" spans="21:22">
      <c r="U825" s="304"/>
      <c r="V825" s="304"/>
    </row>
    <row r="826" spans="21:22">
      <c r="U826" s="304"/>
      <c r="V826" s="304"/>
    </row>
    <row r="827" spans="21:22">
      <c r="U827" s="304"/>
      <c r="V827" s="304"/>
    </row>
    <row r="828" spans="21:22">
      <c r="U828" s="304"/>
      <c r="V828" s="304"/>
    </row>
    <row r="829" spans="21:22">
      <c r="U829" s="304"/>
      <c r="V829" s="304"/>
    </row>
    <row r="830" spans="21:22">
      <c r="U830" s="304"/>
      <c r="V830" s="304"/>
    </row>
    <row r="831" spans="21:22">
      <c r="U831" s="304"/>
      <c r="V831" s="304"/>
    </row>
    <row r="832" spans="21:22">
      <c r="U832" s="304"/>
      <c r="V832" s="304"/>
    </row>
    <row r="833" spans="21:22">
      <c r="U833" s="304"/>
      <c r="V833" s="304"/>
    </row>
    <row r="834" spans="21:22">
      <c r="U834" s="304"/>
      <c r="V834" s="304"/>
    </row>
    <row r="835" spans="21:22">
      <c r="U835" s="304"/>
      <c r="V835" s="304"/>
    </row>
    <row r="836" spans="21:22">
      <c r="U836" s="304"/>
      <c r="V836" s="304"/>
    </row>
    <row r="837" spans="21:22">
      <c r="U837" s="304"/>
      <c r="V837" s="304"/>
    </row>
    <row r="838" spans="21:22">
      <c r="U838" s="304"/>
      <c r="V838" s="304"/>
    </row>
    <row r="839" spans="21:22">
      <c r="U839" s="304"/>
      <c r="V839" s="304"/>
    </row>
    <row r="840" spans="21:22">
      <c r="U840" s="304"/>
      <c r="V840" s="304"/>
    </row>
    <row r="841" spans="21:22">
      <c r="U841" s="304"/>
      <c r="V841" s="304"/>
    </row>
    <row r="842" spans="21:22">
      <c r="U842" s="304"/>
      <c r="V842" s="304"/>
    </row>
    <row r="843" spans="21:22">
      <c r="U843" s="304"/>
      <c r="V843" s="304"/>
    </row>
    <row r="844" spans="21:22">
      <c r="U844" s="304"/>
      <c r="V844" s="304"/>
    </row>
    <row r="845" spans="21:22">
      <c r="U845" s="304"/>
      <c r="V845" s="304"/>
    </row>
    <row r="846" spans="21:22">
      <c r="U846" s="304"/>
      <c r="V846" s="304"/>
    </row>
    <row r="847" spans="21:22">
      <c r="U847" s="304"/>
      <c r="V847" s="304"/>
    </row>
    <row r="848" spans="21:22">
      <c r="U848" s="304"/>
      <c r="V848" s="304"/>
    </row>
    <row r="849" spans="21:22">
      <c r="U849" s="304"/>
      <c r="V849" s="304"/>
    </row>
    <row r="850" spans="21:22">
      <c r="U850" s="304"/>
      <c r="V850" s="304"/>
    </row>
    <row r="851" spans="21:22">
      <c r="U851" s="304"/>
      <c r="V851" s="304"/>
    </row>
    <row r="852" spans="21:22">
      <c r="U852" s="304"/>
      <c r="V852" s="304"/>
    </row>
    <row r="853" spans="21:22">
      <c r="U853" s="304"/>
      <c r="V853" s="304"/>
    </row>
    <row r="854" spans="21:22">
      <c r="U854" s="304"/>
      <c r="V854" s="304"/>
    </row>
    <row r="855" spans="21:22">
      <c r="U855" s="304"/>
      <c r="V855" s="304"/>
    </row>
    <row r="856" spans="21:22">
      <c r="U856" s="304"/>
      <c r="V856" s="304"/>
    </row>
    <row r="857" spans="21:22">
      <c r="U857" s="304"/>
      <c r="V857" s="304"/>
    </row>
    <row r="858" spans="21:22">
      <c r="U858" s="304"/>
      <c r="V858" s="304"/>
    </row>
    <row r="859" spans="21:22">
      <c r="U859" s="304"/>
      <c r="V859" s="304"/>
    </row>
    <row r="860" spans="21:22">
      <c r="U860" s="304"/>
      <c r="V860" s="304"/>
    </row>
    <row r="861" spans="21:22">
      <c r="U861" s="304"/>
      <c r="V861" s="304"/>
    </row>
    <row r="862" spans="21:22">
      <c r="U862" s="304"/>
      <c r="V862" s="304"/>
    </row>
    <row r="863" spans="21:22">
      <c r="U863" s="304"/>
      <c r="V863" s="304"/>
    </row>
    <row r="864" spans="21:22">
      <c r="U864" s="304"/>
      <c r="V864" s="304"/>
    </row>
    <row r="865" spans="21:22">
      <c r="U865" s="304"/>
      <c r="V865" s="304"/>
    </row>
    <row r="866" spans="21:22">
      <c r="U866" s="304"/>
      <c r="V866" s="304"/>
    </row>
    <row r="867" spans="21:22">
      <c r="U867" s="304"/>
      <c r="V867" s="304"/>
    </row>
    <row r="868" spans="21:22">
      <c r="U868" s="304"/>
      <c r="V868" s="304"/>
    </row>
    <row r="869" spans="21:22">
      <c r="U869" s="304"/>
      <c r="V869" s="304"/>
    </row>
    <row r="870" spans="21:22">
      <c r="U870" s="304"/>
      <c r="V870" s="304"/>
    </row>
    <row r="871" spans="21:22">
      <c r="U871" s="304"/>
      <c r="V871" s="304"/>
    </row>
    <row r="872" spans="21:22">
      <c r="U872" s="304"/>
      <c r="V872" s="304"/>
    </row>
    <row r="873" spans="21:22">
      <c r="U873" s="304"/>
      <c r="V873" s="304"/>
    </row>
    <row r="874" spans="21:22">
      <c r="U874" s="304"/>
      <c r="V874" s="304"/>
    </row>
    <row r="875" spans="21:22">
      <c r="U875" s="304"/>
      <c r="V875" s="304"/>
    </row>
    <row r="876" spans="21:22">
      <c r="U876" s="304"/>
      <c r="V876" s="304"/>
    </row>
    <row r="877" spans="21:22">
      <c r="U877" s="304"/>
      <c r="V877" s="304"/>
    </row>
    <row r="878" spans="21:22">
      <c r="U878" s="304"/>
      <c r="V878" s="304"/>
    </row>
    <row r="879" spans="21:22">
      <c r="U879" s="304"/>
      <c r="V879" s="304"/>
    </row>
    <row r="880" spans="21:22">
      <c r="U880" s="304"/>
      <c r="V880" s="304"/>
    </row>
    <row r="881" spans="21:22">
      <c r="U881" s="304"/>
      <c r="V881" s="304"/>
    </row>
    <row r="882" spans="21:22">
      <c r="U882" s="304"/>
      <c r="V882" s="304"/>
    </row>
    <row r="883" spans="21:22">
      <c r="U883" s="304"/>
      <c r="V883" s="304"/>
    </row>
    <row r="884" spans="21:22">
      <c r="U884" s="304"/>
      <c r="V884" s="304"/>
    </row>
    <row r="885" spans="21:22">
      <c r="U885" s="304"/>
      <c r="V885" s="304"/>
    </row>
    <row r="886" spans="21:22">
      <c r="U886" s="304"/>
      <c r="V886" s="304"/>
    </row>
    <row r="887" spans="21:22">
      <c r="U887" s="304"/>
      <c r="V887" s="304"/>
    </row>
    <row r="888" spans="21:22">
      <c r="U888" s="304"/>
      <c r="V888" s="304"/>
    </row>
    <row r="889" spans="21:22">
      <c r="U889" s="304"/>
      <c r="V889" s="304"/>
    </row>
    <row r="890" spans="21:22">
      <c r="U890" s="304"/>
      <c r="V890" s="304"/>
    </row>
    <row r="891" spans="21:22">
      <c r="U891" s="304"/>
      <c r="V891" s="304"/>
    </row>
    <row r="892" spans="21:22">
      <c r="U892" s="304"/>
      <c r="V892" s="304"/>
    </row>
    <row r="893" spans="21:22">
      <c r="U893" s="304"/>
      <c r="V893" s="304"/>
    </row>
    <row r="894" spans="21:22">
      <c r="U894" s="304"/>
      <c r="V894" s="304"/>
    </row>
    <row r="895" spans="21:22">
      <c r="U895" s="304"/>
      <c r="V895" s="304"/>
    </row>
    <row r="896" spans="21:22">
      <c r="U896" s="304"/>
      <c r="V896" s="304"/>
    </row>
    <row r="897" spans="21:22">
      <c r="U897" s="304"/>
      <c r="V897" s="304"/>
    </row>
    <row r="898" spans="21:22">
      <c r="U898" s="304"/>
      <c r="V898" s="304"/>
    </row>
    <row r="899" spans="21:22">
      <c r="U899" s="304"/>
      <c r="V899" s="304"/>
    </row>
    <row r="900" spans="21:22">
      <c r="U900" s="304"/>
      <c r="V900" s="304"/>
    </row>
    <row r="901" spans="21:22">
      <c r="U901" s="304"/>
      <c r="V901" s="304"/>
    </row>
    <row r="902" spans="21:22">
      <c r="U902" s="304"/>
      <c r="V902" s="304"/>
    </row>
    <row r="903" spans="21:22">
      <c r="U903" s="304"/>
      <c r="V903" s="304"/>
    </row>
    <row r="904" spans="21:22">
      <c r="U904" s="304"/>
      <c r="V904" s="304"/>
    </row>
    <row r="905" spans="21:22">
      <c r="U905" s="304"/>
      <c r="V905" s="304"/>
    </row>
    <row r="906" spans="21:22">
      <c r="U906" s="304"/>
      <c r="V906" s="304"/>
    </row>
    <row r="907" spans="21:22">
      <c r="U907" s="304"/>
      <c r="V907" s="304"/>
    </row>
    <row r="908" spans="21:22">
      <c r="U908" s="304"/>
      <c r="V908" s="304"/>
    </row>
    <row r="909" spans="21:22">
      <c r="U909" s="304"/>
      <c r="V909" s="304"/>
    </row>
    <row r="910" spans="21:22">
      <c r="U910" s="304"/>
      <c r="V910" s="304"/>
    </row>
    <row r="911" spans="21:22">
      <c r="U911" s="304"/>
      <c r="V911" s="304"/>
    </row>
    <row r="912" spans="21:22">
      <c r="U912" s="304"/>
      <c r="V912" s="304"/>
    </row>
    <row r="913" spans="21:22">
      <c r="U913" s="304"/>
      <c r="V913" s="304"/>
    </row>
    <row r="914" spans="21:22">
      <c r="U914" s="304"/>
      <c r="V914" s="304"/>
    </row>
    <row r="915" spans="21:22">
      <c r="U915" s="304"/>
      <c r="V915" s="304"/>
    </row>
    <row r="916" spans="21:22">
      <c r="U916" s="304"/>
      <c r="V916" s="304"/>
    </row>
    <row r="917" spans="21:22">
      <c r="U917" s="304"/>
      <c r="V917" s="304"/>
    </row>
    <row r="918" spans="21:22">
      <c r="U918" s="304"/>
      <c r="V918" s="304"/>
    </row>
    <row r="919" spans="21:22">
      <c r="U919" s="304"/>
      <c r="V919" s="304"/>
    </row>
    <row r="920" spans="21:22">
      <c r="U920" s="304"/>
      <c r="V920" s="304"/>
    </row>
    <row r="921" spans="21:22">
      <c r="U921" s="304"/>
      <c r="V921" s="304"/>
    </row>
    <row r="922" spans="21:22">
      <c r="U922" s="304"/>
      <c r="V922" s="304"/>
    </row>
    <row r="923" spans="21:22">
      <c r="U923" s="304"/>
      <c r="V923" s="304"/>
    </row>
    <row r="924" spans="21:22">
      <c r="U924" s="304"/>
      <c r="V924" s="304"/>
    </row>
    <row r="925" spans="21:22">
      <c r="U925" s="304"/>
      <c r="V925" s="304"/>
    </row>
    <row r="926" spans="21:22">
      <c r="U926" s="304"/>
      <c r="V926" s="304"/>
    </row>
    <row r="927" spans="21:22">
      <c r="U927" s="304"/>
      <c r="V927" s="304"/>
    </row>
    <row r="928" spans="21:22">
      <c r="U928" s="304"/>
      <c r="V928" s="304"/>
    </row>
    <row r="929" spans="21:22">
      <c r="U929" s="304"/>
      <c r="V929" s="304"/>
    </row>
    <row r="930" spans="21:22">
      <c r="U930" s="304"/>
      <c r="V930" s="304"/>
    </row>
    <row r="931" spans="21:22">
      <c r="U931" s="304"/>
      <c r="V931" s="304"/>
    </row>
    <row r="932" spans="21:22">
      <c r="U932" s="304"/>
      <c r="V932" s="304"/>
    </row>
    <row r="933" spans="21:22">
      <c r="U933" s="304"/>
      <c r="V933" s="304"/>
    </row>
    <row r="934" spans="21:22">
      <c r="U934" s="304"/>
      <c r="V934" s="304"/>
    </row>
    <row r="935" spans="21:22">
      <c r="U935" s="304"/>
      <c r="V935" s="304"/>
    </row>
    <row r="936" spans="21:22">
      <c r="U936" s="304"/>
      <c r="V936" s="304"/>
    </row>
    <row r="937" spans="21:22">
      <c r="U937" s="304"/>
      <c r="V937" s="304"/>
    </row>
    <row r="938" spans="21:22">
      <c r="U938" s="304"/>
      <c r="V938" s="304"/>
    </row>
    <row r="939" spans="21:22">
      <c r="U939" s="304"/>
      <c r="V939" s="304"/>
    </row>
    <row r="940" spans="21:22">
      <c r="U940" s="304"/>
      <c r="V940" s="304"/>
    </row>
    <row r="941" spans="21:22">
      <c r="U941" s="304"/>
      <c r="V941" s="304"/>
    </row>
    <row r="942" spans="21:22">
      <c r="U942" s="304"/>
      <c r="V942" s="304"/>
    </row>
    <row r="943" spans="21:22">
      <c r="U943" s="304"/>
      <c r="V943" s="304"/>
    </row>
    <row r="944" spans="21:22">
      <c r="U944" s="304"/>
      <c r="V944" s="304"/>
    </row>
    <row r="945" spans="21:22">
      <c r="U945" s="304"/>
      <c r="V945" s="304"/>
    </row>
    <row r="946" spans="21:22">
      <c r="U946" s="304"/>
      <c r="V946" s="304"/>
    </row>
    <row r="947" spans="21:22">
      <c r="U947" s="304"/>
      <c r="V947" s="304"/>
    </row>
    <row r="948" spans="21:22">
      <c r="U948" s="304"/>
      <c r="V948" s="304"/>
    </row>
    <row r="949" spans="21:22">
      <c r="U949" s="304"/>
      <c r="V949" s="304"/>
    </row>
    <row r="950" spans="21:22">
      <c r="U950" s="304"/>
      <c r="V950" s="304"/>
    </row>
    <row r="951" spans="21:22">
      <c r="U951" s="304"/>
      <c r="V951" s="304"/>
    </row>
    <row r="952" spans="21:22">
      <c r="U952" s="304"/>
      <c r="V952" s="304"/>
    </row>
    <row r="953" spans="21:22">
      <c r="U953" s="304"/>
      <c r="V953" s="304"/>
    </row>
    <row r="954" spans="21:22">
      <c r="U954" s="304"/>
      <c r="V954" s="304"/>
    </row>
    <row r="955" spans="21:22">
      <c r="U955" s="304"/>
      <c r="V955" s="304"/>
    </row>
    <row r="956" spans="21:22">
      <c r="U956" s="304"/>
      <c r="V956" s="304"/>
    </row>
    <row r="957" spans="21:22">
      <c r="U957" s="304"/>
      <c r="V957" s="304"/>
    </row>
    <row r="958" spans="21:22">
      <c r="U958" s="304"/>
      <c r="V958" s="304"/>
    </row>
    <row r="959" spans="21:22">
      <c r="U959" s="304"/>
      <c r="V959" s="304"/>
    </row>
    <row r="960" spans="21:22">
      <c r="U960" s="304"/>
      <c r="V960" s="304"/>
    </row>
    <row r="961" spans="21:22">
      <c r="U961" s="304"/>
      <c r="V961" s="304"/>
    </row>
    <row r="962" spans="21:22">
      <c r="U962" s="304"/>
      <c r="V962" s="304"/>
    </row>
    <row r="963" spans="21:22">
      <c r="U963" s="304"/>
      <c r="V963" s="304"/>
    </row>
    <row r="964" spans="21:22">
      <c r="U964" s="304"/>
      <c r="V964" s="304"/>
    </row>
    <row r="965" spans="21:22">
      <c r="U965" s="304"/>
      <c r="V965" s="304"/>
    </row>
    <row r="966" spans="21:22">
      <c r="U966" s="304"/>
      <c r="V966" s="304"/>
    </row>
    <row r="967" spans="21:22">
      <c r="U967" s="304"/>
      <c r="V967" s="304"/>
    </row>
    <row r="968" spans="21:22">
      <c r="U968" s="304"/>
      <c r="V968" s="304"/>
    </row>
    <row r="969" spans="21:22">
      <c r="U969" s="304"/>
      <c r="V969" s="304"/>
    </row>
    <row r="970" spans="21:22">
      <c r="U970" s="304"/>
      <c r="V970" s="304"/>
    </row>
    <row r="971" spans="21:22">
      <c r="U971" s="304"/>
      <c r="V971" s="304"/>
    </row>
    <row r="972" spans="21:22">
      <c r="U972" s="304"/>
      <c r="V972" s="304"/>
    </row>
    <row r="973" spans="21:22">
      <c r="U973" s="304"/>
      <c r="V973" s="304"/>
    </row>
    <row r="974" spans="21:22">
      <c r="U974" s="304"/>
      <c r="V974" s="304"/>
    </row>
    <row r="975" spans="21:22">
      <c r="U975" s="304"/>
      <c r="V975" s="304"/>
    </row>
    <row r="976" spans="21:22">
      <c r="U976" s="304"/>
      <c r="V976" s="304"/>
    </row>
    <row r="977" spans="21:22">
      <c r="U977" s="304"/>
      <c r="V977" s="304"/>
    </row>
    <row r="978" spans="21:22">
      <c r="U978" s="304"/>
      <c r="V978" s="304"/>
    </row>
    <row r="979" spans="21:22">
      <c r="U979" s="304"/>
      <c r="V979" s="304"/>
    </row>
    <row r="980" spans="21:22">
      <c r="U980" s="304"/>
      <c r="V980" s="304"/>
    </row>
    <row r="981" spans="21:22">
      <c r="U981" s="304"/>
      <c r="V981" s="304"/>
    </row>
    <row r="982" spans="21:22">
      <c r="U982" s="304"/>
      <c r="V982" s="304"/>
    </row>
    <row r="983" spans="21:22">
      <c r="U983" s="304"/>
      <c r="V983" s="304"/>
    </row>
    <row r="984" spans="21:22">
      <c r="U984" s="304"/>
      <c r="V984" s="304"/>
    </row>
    <row r="985" spans="21:22">
      <c r="U985" s="304"/>
      <c r="V985" s="304"/>
    </row>
    <row r="986" spans="21:22">
      <c r="U986" s="304"/>
      <c r="V986" s="304"/>
    </row>
    <row r="987" spans="21:22">
      <c r="U987" s="304"/>
      <c r="V987" s="304"/>
    </row>
    <row r="988" spans="21:22">
      <c r="U988" s="304"/>
      <c r="V988" s="304"/>
    </row>
    <row r="989" spans="21:22">
      <c r="U989" s="304"/>
      <c r="V989" s="304"/>
    </row>
    <row r="990" spans="21:22">
      <c r="U990" s="304"/>
      <c r="V990" s="304"/>
    </row>
    <row r="991" spans="21:22">
      <c r="U991" s="304"/>
      <c r="V991" s="304"/>
    </row>
    <row r="992" spans="21:22">
      <c r="U992" s="304"/>
      <c r="V992" s="304"/>
    </row>
    <row r="993" spans="21:22">
      <c r="U993" s="304"/>
      <c r="V993" s="304"/>
    </row>
    <row r="994" spans="21:22">
      <c r="U994" s="304"/>
      <c r="V994" s="304"/>
    </row>
    <row r="995" spans="21:22">
      <c r="U995" s="304"/>
      <c r="V995" s="304"/>
    </row>
    <row r="996" spans="21:22">
      <c r="U996" s="304"/>
      <c r="V996" s="304"/>
    </row>
    <row r="997" spans="21:22">
      <c r="U997" s="304"/>
      <c r="V997" s="304"/>
    </row>
    <row r="998" spans="21:22">
      <c r="U998" s="304"/>
      <c r="V998" s="304"/>
    </row>
    <row r="999" spans="21:22">
      <c r="U999" s="304"/>
      <c r="V999" s="304"/>
    </row>
    <row r="1000" spans="21:22">
      <c r="U1000" s="304"/>
      <c r="V1000" s="304"/>
    </row>
    <row r="1001" spans="21:22">
      <c r="U1001" s="304"/>
      <c r="V1001" s="304"/>
    </row>
    <row r="1002" spans="21:22">
      <c r="U1002" s="304"/>
      <c r="V1002" s="304"/>
    </row>
    <row r="1003" spans="21:22">
      <c r="U1003" s="304"/>
      <c r="V1003" s="304"/>
    </row>
    <row r="1004" spans="21:22">
      <c r="U1004" s="304"/>
      <c r="V1004" s="304"/>
    </row>
    <row r="1005" spans="21:22">
      <c r="U1005" s="304"/>
      <c r="V1005" s="304"/>
    </row>
    <row r="1006" spans="21:22">
      <c r="U1006" s="304"/>
      <c r="V1006" s="304"/>
    </row>
    <row r="1007" spans="21:22">
      <c r="U1007" s="304"/>
      <c r="V1007" s="304"/>
    </row>
    <row r="1008" spans="21:22">
      <c r="U1008" s="304"/>
      <c r="V1008" s="304"/>
    </row>
    <row r="1009" spans="21:22">
      <c r="U1009" s="304"/>
      <c r="V1009" s="304"/>
    </row>
    <row r="1010" spans="21:22">
      <c r="U1010" s="304"/>
      <c r="V1010" s="304"/>
    </row>
    <row r="1011" spans="21:22">
      <c r="U1011" s="304"/>
      <c r="V1011" s="304"/>
    </row>
    <row r="1012" spans="21:22">
      <c r="U1012" s="304"/>
      <c r="V1012" s="304"/>
    </row>
    <row r="1013" spans="21:22">
      <c r="U1013" s="304"/>
      <c r="V1013" s="304"/>
    </row>
    <row r="1014" spans="21:22">
      <c r="U1014" s="304"/>
      <c r="V1014" s="304"/>
    </row>
    <row r="1015" spans="21:22">
      <c r="U1015" s="304"/>
      <c r="V1015" s="304"/>
    </row>
    <row r="1016" spans="21:22">
      <c r="U1016" s="304"/>
      <c r="V1016" s="304"/>
    </row>
    <row r="1017" spans="21:22">
      <c r="U1017" s="304"/>
      <c r="V1017" s="304"/>
    </row>
    <row r="1018" spans="21:22">
      <c r="U1018" s="304"/>
      <c r="V1018" s="304"/>
    </row>
    <row r="1019" spans="21:22">
      <c r="U1019" s="304"/>
      <c r="V1019" s="304"/>
    </row>
    <row r="1020" spans="21:22">
      <c r="U1020" s="304"/>
      <c r="V1020" s="304"/>
    </row>
    <row r="1021" spans="21:22">
      <c r="U1021" s="304"/>
      <c r="V1021" s="304"/>
    </row>
    <row r="1022" spans="21:22">
      <c r="U1022" s="304"/>
      <c r="V1022" s="304"/>
    </row>
    <row r="1023" spans="21:22">
      <c r="U1023" s="304"/>
      <c r="V1023" s="304"/>
    </row>
    <row r="1024" spans="21:22">
      <c r="U1024" s="304"/>
      <c r="V1024" s="304"/>
    </row>
    <row r="1025" spans="21:22">
      <c r="U1025" s="304"/>
      <c r="V1025" s="304"/>
    </row>
    <row r="1026" spans="21:22">
      <c r="U1026" s="304"/>
      <c r="V1026" s="304"/>
    </row>
    <row r="1027" spans="21:22">
      <c r="U1027" s="304"/>
      <c r="V1027" s="304"/>
    </row>
    <row r="1028" spans="21:22">
      <c r="U1028" s="304"/>
      <c r="V1028" s="304"/>
    </row>
    <row r="1029" spans="21:22">
      <c r="U1029" s="304"/>
      <c r="V1029" s="304"/>
    </row>
    <row r="1030" spans="21:22">
      <c r="U1030" s="304"/>
      <c r="V1030" s="304"/>
    </row>
    <row r="1031" spans="21:22">
      <c r="U1031" s="304"/>
      <c r="V1031" s="304"/>
    </row>
    <row r="1032" spans="21:22">
      <c r="U1032" s="304"/>
      <c r="V1032" s="304"/>
    </row>
    <row r="1033" spans="21:22">
      <c r="U1033" s="304"/>
      <c r="V1033" s="304"/>
    </row>
    <row r="1034" spans="21:22">
      <c r="U1034" s="304"/>
      <c r="V1034" s="304"/>
    </row>
    <row r="1035" spans="21:22">
      <c r="U1035" s="304"/>
      <c r="V1035" s="304"/>
    </row>
    <row r="1036" spans="21:22">
      <c r="U1036" s="304"/>
      <c r="V1036" s="304"/>
    </row>
    <row r="1037" spans="21:22">
      <c r="U1037" s="304"/>
      <c r="V1037" s="304"/>
    </row>
    <row r="1038" spans="21:22">
      <c r="U1038" s="304"/>
      <c r="V1038" s="304"/>
    </row>
    <row r="1039" spans="21:22">
      <c r="U1039" s="304"/>
      <c r="V1039" s="304"/>
    </row>
    <row r="1040" spans="21:22">
      <c r="U1040" s="304"/>
      <c r="V1040" s="304"/>
    </row>
    <row r="1041" spans="21:22">
      <c r="U1041" s="304"/>
      <c r="V1041" s="304"/>
    </row>
    <row r="1042" spans="21:22">
      <c r="U1042" s="304"/>
      <c r="V1042" s="304"/>
    </row>
    <row r="1043" spans="21:22">
      <c r="U1043" s="304"/>
      <c r="V1043" s="304"/>
    </row>
    <row r="1044" spans="21:22">
      <c r="U1044" s="304"/>
      <c r="V1044" s="304"/>
    </row>
    <row r="1045" spans="21:22">
      <c r="U1045" s="304"/>
      <c r="V1045" s="304"/>
    </row>
    <row r="1046" spans="21:22">
      <c r="U1046" s="304"/>
      <c r="V1046" s="304"/>
    </row>
    <row r="1047" spans="21:22">
      <c r="U1047" s="304"/>
      <c r="V1047" s="304"/>
    </row>
    <row r="1048" spans="21:22">
      <c r="U1048" s="304"/>
      <c r="V1048" s="304"/>
    </row>
    <row r="1049" spans="21:22">
      <c r="U1049" s="304"/>
      <c r="V1049" s="304"/>
    </row>
    <row r="1050" spans="21:22">
      <c r="U1050" s="304"/>
      <c r="V1050" s="304"/>
    </row>
    <row r="1051" spans="21:22">
      <c r="U1051" s="304"/>
      <c r="V1051" s="304"/>
    </row>
    <row r="1052" spans="21:22">
      <c r="U1052" s="304"/>
      <c r="V1052" s="304"/>
    </row>
    <row r="1053" spans="21:22">
      <c r="U1053" s="304"/>
      <c r="V1053" s="304"/>
    </row>
    <row r="1054" spans="21:22">
      <c r="U1054" s="304"/>
      <c r="V1054" s="304"/>
    </row>
    <row r="1055" spans="21:22">
      <c r="U1055" s="304"/>
      <c r="V1055" s="304"/>
    </row>
    <row r="1056" spans="21:22">
      <c r="U1056" s="304"/>
      <c r="V1056" s="304"/>
    </row>
    <row r="1057" spans="21:22">
      <c r="U1057" s="304"/>
      <c r="V1057" s="304"/>
    </row>
    <row r="1058" spans="21:22">
      <c r="U1058" s="304"/>
      <c r="V1058" s="304"/>
    </row>
    <row r="1059" spans="21:22">
      <c r="U1059" s="304"/>
      <c r="V1059" s="304"/>
    </row>
    <row r="1060" spans="21:22">
      <c r="U1060" s="304"/>
      <c r="V1060" s="304"/>
    </row>
    <row r="1061" spans="21:22">
      <c r="U1061" s="304"/>
      <c r="V1061" s="304"/>
    </row>
    <row r="1062" spans="21:22">
      <c r="U1062" s="304"/>
      <c r="V1062" s="304"/>
    </row>
    <row r="1063" spans="21:22">
      <c r="U1063" s="304"/>
      <c r="V1063" s="304"/>
    </row>
    <row r="1064" spans="21:22">
      <c r="U1064" s="304"/>
      <c r="V1064" s="304"/>
    </row>
    <row r="1065" spans="21:22">
      <c r="U1065" s="304"/>
      <c r="V1065" s="304"/>
    </row>
    <row r="1066" spans="21:22">
      <c r="U1066" s="304"/>
      <c r="V1066" s="304"/>
    </row>
    <row r="1067" spans="21:22">
      <c r="U1067" s="304"/>
      <c r="V1067" s="304"/>
    </row>
    <row r="1068" spans="21:22">
      <c r="U1068" s="304"/>
      <c r="V1068" s="304"/>
    </row>
    <row r="1069" spans="21:22">
      <c r="U1069" s="304"/>
      <c r="V1069" s="304"/>
    </row>
    <row r="1070" spans="21:22">
      <c r="U1070" s="304"/>
      <c r="V1070" s="304"/>
    </row>
    <row r="1071" spans="21:22">
      <c r="U1071" s="304"/>
      <c r="V1071" s="304"/>
    </row>
    <row r="1072" spans="21:22">
      <c r="U1072" s="304"/>
      <c r="V1072" s="304"/>
    </row>
    <row r="1073" spans="21:22">
      <c r="U1073" s="304"/>
      <c r="V1073" s="304"/>
    </row>
    <row r="1074" spans="21:22">
      <c r="U1074" s="304"/>
      <c r="V1074" s="304"/>
    </row>
    <row r="1075" spans="21:22">
      <c r="U1075" s="304"/>
      <c r="V1075" s="304"/>
    </row>
    <row r="1076" spans="21:22">
      <c r="U1076" s="304"/>
      <c r="V1076" s="304"/>
    </row>
    <row r="1077" spans="21:22">
      <c r="U1077" s="304"/>
      <c r="V1077" s="304"/>
    </row>
    <row r="1078" spans="21:22">
      <c r="U1078" s="304"/>
      <c r="V1078" s="304"/>
    </row>
    <row r="1079" spans="21:22">
      <c r="U1079" s="304"/>
      <c r="V1079" s="304"/>
    </row>
    <row r="1080" spans="21:22">
      <c r="U1080" s="304"/>
      <c r="V1080" s="304"/>
    </row>
    <row r="1081" spans="21:22">
      <c r="U1081" s="304"/>
      <c r="V1081" s="304"/>
    </row>
    <row r="1082" spans="21:22">
      <c r="U1082" s="304"/>
      <c r="V1082" s="304"/>
    </row>
    <row r="1083" spans="21:22">
      <c r="U1083" s="304"/>
      <c r="V1083" s="304"/>
    </row>
    <row r="1084" spans="21:22">
      <c r="U1084" s="304"/>
      <c r="V1084" s="304"/>
    </row>
    <row r="1085" spans="21:22">
      <c r="U1085" s="304"/>
      <c r="V1085" s="304"/>
    </row>
    <row r="1086" spans="21:22">
      <c r="U1086" s="304"/>
      <c r="V1086" s="304"/>
    </row>
    <row r="1087" spans="21:22">
      <c r="U1087" s="304"/>
      <c r="V1087" s="304"/>
    </row>
    <row r="1088" spans="21:22">
      <c r="U1088" s="304"/>
      <c r="V1088" s="304"/>
    </row>
    <row r="1089" spans="21:22">
      <c r="U1089" s="304"/>
      <c r="V1089" s="304"/>
    </row>
    <row r="1090" spans="21:22">
      <c r="U1090" s="304"/>
      <c r="V1090" s="304"/>
    </row>
    <row r="1091" spans="21:22">
      <c r="U1091" s="304"/>
      <c r="V1091" s="304"/>
    </row>
    <row r="1092" spans="21:22">
      <c r="U1092" s="304"/>
      <c r="V1092" s="304"/>
    </row>
    <row r="1093" spans="21:22">
      <c r="U1093" s="304"/>
      <c r="V1093" s="304"/>
    </row>
    <row r="1094" spans="21:22">
      <c r="U1094" s="304"/>
      <c r="V1094" s="304"/>
    </row>
    <row r="1095" spans="21:22">
      <c r="U1095" s="304"/>
      <c r="V1095" s="304"/>
    </row>
    <row r="1096" spans="21:22">
      <c r="U1096" s="304"/>
      <c r="V1096" s="304"/>
    </row>
    <row r="1097" spans="21:22">
      <c r="U1097" s="304"/>
      <c r="V1097" s="304"/>
    </row>
    <row r="1098" spans="21:22">
      <c r="U1098" s="304"/>
      <c r="V1098" s="304"/>
    </row>
    <row r="1099" spans="21:22">
      <c r="U1099" s="304"/>
      <c r="V1099" s="304"/>
    </row>
    <row r="1100" spans="21:22">
      <c r="U1100" s="304"/>
      <c r="V1100" s="304"/>
    </row>
    <row r="1101" spans="21:22">
      <c r="U1101" s="304"/>
      <c r="V1101" s="304"/>
    </row>
    <row r="1102" spans="21:22">
      <c r="U1102" s="304"/>
      <c r="V1102" s="304"/>
    </row>
    <row r="1103" spans="21:22">
      <c r="U1103" s="304"/>
      <c r="V1103" s="304"/>
    </row>
    <row r="1104" spans="21:22">
      <c r="U1104" s="304"/>
      <c r="V1104" s="304"/>
    </row>
    <row r="1105" spans="21:22">
      <c r="U1105" s="304"/>
      <c r="V1105" s="304"/>
    </row>
    <row r="1106" spans="21:22">
      <c r="U1106" s="304"/>
      <c r="V1106" s="304"/>
    </row>
    <row r="1107" spans="21:22">
      <c r="U1107" s="304"/>
      <c r="V1107" s="304"/>
    </row>
    <row r="1108" spans="21:22">
      <c r="U1108" s="304"/>
      <c r="V1108" s="304"/>
    </row>
    <row r="1109" spans="21:22">
      <c r="U1109" s="304"/>
      <c r="V1109" s="304"/>
    </row>
    <row r="1110" spans="21:22">
      <c r="U1110" s="304"/>
      <c r="V1110" s="304"/>
    </row>
    <row r="1111" spans="21:22">
      <c r="U1111" s="304"/>
      <c r="V1111" s="304"/>
    </row>
    <row r="1112" spans="21:22">
      <c r="U1112" s="304"/>
      <c r="V1112" s="304"/>
    </row>
    <row r="1113" spans="21:22">
      <c r="U1113" s="304"/>
      <c r="V1113" s="304"/>
    </row>
    <row r="1114" spans="21:22">
      <c r="U1114" s="304"/>
      <c r="V1114" s="304"/>
    </row>
    <row r="1115" spans="21:22">
      <c r="U1115" s="304"/>
      <c r="V1115" s="304"/>
    </row>
    <row r="1116" spans="21:22">
      <c r="U1116" s="304"/>
      <c r="V1116" s="304"/>
    </row>
    <row r="1117" spans="21:22">
      <c r="U1117" s="304"/>
      <c r="V1117" s="304"/>
    </row>
    <row r="1118" spans="21:22">
      <c r="U1118" s="304"/>
      <c r="V1118" s="304"/>
    </row>
    <row r="1119" spans="21:22">
      <c r="U1119" s="304"/>
      <c r="V1119" s="304"/>
    </row>
    <row r="1120" spans="21:22">
      <c r="U1120" s="304"/>
      <c r="V1120" s="304"/>
    </row>
    <row r="1121" spans="21:22">
      <c r="U1121" s="304"/>
      <c r="V1121" s="304"/>
    </row>
    <row r="1122" spans="21:22">
      <c r="U1122" s="304"/>
      <c r="V1122" s="304"/>
    </row>
    <row r="1123" spans="21:22">
      <c r="U1123" s="304"/>
      <c r="V1123" s="304"/>
    </row>
    <row r="1124" spans="21:22">
      <c r="U1124" s="304"/>
      <c r="V1124" s="304"/>
    </row>
    <row r="1125" spans="21:22">
      <c r="U1125" s="304"/>
      <c r="V1125" s="304"/>
    </row>
    <row r="1126" spans="21:22">
      <c r="U1126" s="304"/>
      <c r="V1126" s="304"/>
    </row>
    <row r="1127" spans="21:22">
      <c r="U1127" s="304"/>
      <c r="V1127" s="304"/>
    </row>
    <row r="1128" spans="21:22">
      <c r="U1128" s="304"/>
      <c r="V1128" s="304"/>
    </row>
    <row r="1129" spans="21:22">
      <c r="U1129" s="304"/>
      <c r="V1129" s="304"/>
    </row>
    <row r="1130" spans="21:22">
      <c r="U1130" s="304"/>
      <c r="V1130" s="304"/>
    </row>
    <row r="1131" spans="21:22">
      <c r="U1131" s="304"/>
      <c r="V1131" s="304"/>
    </row>
    <row r="1132" spans="21:22">
      <c r="U1132" s="304"/>
      <c r="V1132" s="304"/>
    </row>
    <row r="1133" spans="21:22">
      <c r="U1133" s="304"/>
      <c r="V1133" s="304"/>
    </row>
    <row r="1134" spans="21:22">
      <c r="U1134" s="304"/>
      <c r="V1134" s="304"/>
    </row>
    <row r="1135" spans="21:22">
      <c r="U1135" s="304"/>
      <c r="V1135" s="304"/>
    </row>
    <row r="1136" spans="21:22">
      <c r="U1136" s="304"/>
      <c r="V1136" s="304"/>
    </row>
    <row r="1137" spans="21:22">
      <c r="U1137" s="304"/>
      <c r="V1137" s="304"/>
    </row>
    <row r="1138" spans="21:22">
      <c r="U1138" s="304"/>
      <c r="V1138" s="304"/>
    </row>
    <row r="1139" spans="21:22">
      <c r="U1139" s="304"/>
      <c r="V1139" s="304"/>
    </row>
    <row r="1140" spans="21:22">
      <c r="U1140" s="304"/>
      <c r="V1140" s="304"/>
    </row>
    <row r="1141" spans="21:22">
      <c r="U1141" s="304"/>
      <c r="V1141" s="304"/>
    </row>
    <row r="1142" spans="21:22">
      <c r="U1142" s="304"/>
      <c r="V1142" s="304"/>
    </row>
    <row r="1143" spans="21:22">
      <c r="U1143" s="304"/>
      <c r="V1143" s="304"/>
    </row>
    <row r="1144" spans="21:22">
      <c r="U1144" s="304"/>
      <c r="V1144" s="304"/>
    </row>
    <row r="1145" spans="21:22">
      <c r="U1145" s="304"/>
      <c r="V1145" s="304"/>
    </row>
    <row r="1146" spans="21:22">
      <c r="U1146" s="304"/>
      <c r="V1146" s="304"/>
    </row>
    <row r="1147" spans="21:22">
      <c r="U1147" s="304"/>
      <c r="V1147" s="304"/>
    </row>
    <row r="1148" spans="21:22">
      <c r="U1148" s="304"/>
      <c r="V1148" s="304"/>
    </row>
    <row r="1149" spans="21:22">
      <c r="U1149" s="304"/>
      <c r="V1149" s="304"/>
    </row>
    <row r="1150" spans="21:22">
      <c r="U1150" s="304"/>
      <c r="V1150" s="304"/>
    </row>
    <row r="1151" spans="21:22">
      <c r="U1151" s="304"/>
      <c r="V1151" s="304"/>
    </row>
    <row r="1152" spans="21:22">
      <c r="U1152" s="304"/>
      <c r="V1152" s="304"/>
    </row>
    <row r="1153" spans="21:22">
      <c r="U1153" s="304"/>
      <c r="V1153" s="304"/>
    </row>
    <row r="1154" spans="21:22">
      <c r="U1154" s="304"/>
      <c r="V1154" s="304"/>
    </row>
    <row r="1155" spans="21:22">
      <c r="U1155" s="304"/>
      <c r="V1155" s="304"/>
    </row>
    <row r="1156" spans="21:22">
      <c r="U1156" s="304"/>
      <c r="V1156" s="304"/>
    </row>
    <row r="1157" spans="21:22">
      <c r="U1157" s="304"/>
      <c r="V1157" s="304"/>
    </row>
    <row r="1158" spans="21:22">
      <c r="U1158" s="304"/>
      <c r="V1158" s="304"/>
    </row>
    <row r="1159" spans="21:22">
      <c r="U1159" s="304"/>
      <c r="V1159" s="304"/>
    </row>
    <row r="1160" spans="21:22">
      <c r="U1160" s="304"/>
      <c r="V1160" s="304"/>
    </row>
    <row r="1161" spans="21:22">
      <c r="U1161" s="304"/>
      <c r="V1161" s="304"/>
    </row>
    <row r="1162" spans="21:22">
      <c r="U1162" s="304"/>
      <c r="V1162" s="304"/>
    </row>
    <row r="1163" spans="21:22">
      <c r="U1163" s="304"/>
      <c r="V1163" s="304"/>
    </row>
    <row r="1164" spans="21:22">
      <c r="U1164" s="304"/>
      <c r="V1164" s="304"/>
    </row>
    <row r="1165" spans="21:22">
      <c r="U1165" s="304"/>
      <c r="V1165" s="304"/>
    </row>
    <row r="1166" spans="21:22">
      <c r="U1166" s="304"/>
      <c r="V1166" s="304"/>
    </row>
    <row r="1167" spans="21:22">
      <c r="U1167" s="304"/>
      <c r="V1167" s="304"/>
    </row>
    <row r="1168" spans="21:22">
      <c r="U1168" s="304"/>
      <c r="V1168" s="304"/>
    </row>
    <row r="1169" spans="21:22">
      <c r="U1169" s="304"/>
      <c r="V1169" s="304"/>
    </row>
    <row r="1170" spans="21:22">
      <c r="U1170" s="304"/>
      <c r="V1170" s="304"/>
    </row>
    <row r="1171" spans="21:22">
      <c r="U1171" s="304"/>
      <c r="V1171" s="304"/>
    </row>
    <row r="1172" spans="21:22">
      <c r="U1172" s="304"/>
      <c r="V1172" s="304"/>
    </row>
    <row r="1173" spans="21:22">
      <c r="U1173" s="304"/>
      <c r="V1173" s="304"/>
    </row>
    <row r="1174" spans="21:22">
      <c r="U1174" s="304"/>
      <c r="V1174" s="304"/>
    </row>
    <row r="1175" spans="21:22">
      <c r="U1175" s="304"/>
      <c r="V1175" s="304"/>
    </row>
    <row r="1176" spans="21:22">
      <c r="U1176" s="304"/>
      <c r="V1176" s="304"/>
    </row>
    <row r="1177" spans="21:22">
      <c r="U1177" s="304"/>
      <c r="V1177" s="304"/>
    </row>
    <row r="1178" spans="21:22">
      <c r="U1178" s="304"/>
      <c r="V1178" s="304"/>
    </row>
    <row r="1179" spans="21:22">
      <c r="U1179" s="304"/>
      <c r="V1179" s="304"/>
    </row>
    <row r="1180" spans="21:22">
      <c r="U1180" s="304"/>
      <c r="V1180" s="304"/>
    </row>
    <row r="1181" spans="21:22">
      <c r="U1181" s="304"/>
      <c r="V1181" s="304"/>
    </row>
    <row r="1182" spans="21:22">
      <c r="U1182" s="304"/>
      <c r="V1182" s="304"/>
    </row>
    <row r="1183" spans="21:22">
      <c r="U1183" s="304"/>
      <c r="V1183" s="304"/>
    </row>
    <row r="1184" spans="21:22">
      <c r="U1184" s="304"/>
      <c r="V1184" s="304"/>
    </row>
    <row r="1185" spans="21:22">
      <c r="U1185" s="304"/>
      <c r="V1185" s="304"/>
    </row>
    <row r="1186" spans="21:22">
      <c r="U1186" s="304"/>
      <c r="V1186" s="304"/>
    </row>
    <row r="1187" spans="21:22">
      <c r="U1187" s="304"/>
      <c r="V1187" s="304"/>
    </row>
    <row r="1188" spans="21:22">
      <c r="U1188" s="304"/>
      <c r="V1188" s="304"/>
    </row>
    <row r="1189" spans="21:22">
      <c r="U1189" s="304"/>
      <c r="V1189" s="304"/>
    </row>
    <row r="1190" spans="21:22">
      <c r="U1190" s="304"/>
      <c r="V1190" s="304"/>
    </row>
    <row r="1191" spans="21:22">
      <c r="U1191" s="304"/>
      <c r="V1191" s="304"/>
    </row>
    <row r="1192" spans="21:22">
      <c r="U1192" s="304"/>
      <c r="V1192" s="304"/>
    </row>
    <row r="1193" spans="21:22">
      <c r="U1193" s="304"/>
      <c r="V1193" s="304"/>
    </row>
    <row r="1194" spans="21:22">
      <c r="U1194" s="304"/>
      <c r="V1194" s="304"/>
    </row>
    <row r="1195" spans="21:22">
      <c r="U1195" s="304"/>
      <c r="V1195" s="304"/>
    </row>
    <row r="1196" spans="21:22">
      <c r="U1196" s="304"/>
      <c r="V1196" s="304"/>
    </row>
    <row r="1197" spans="21:22">
      <c r="U1197" s="304"/>
      <c r="V1197" s="304"/>
    </row>
    <row r="1198" spans="21:22">
      <c r="U1198" s="304"/>
      <c r="V1198" s="304"/>
    </row>
    <row r="1199" spans="21:22">
      <c r="U1199" s="304"/>
      <c r="V1199" s="304"/>
    </row>
    <row r="1200" spans="21:22">
      <c r="U1200" s="304"/>
      <c r="V1200" s="304"/>
    </row>
    <row r="1201" spans="21:22">
      <c r="U1201" s="304"/>
      <c r="V1201" s="304"/>
    </row>
    <row r="1202" spans="21:22">
      <c r="U1202" s="304"/>
      <c r="V1202" s="304"/>
    </row>
    <row r="1203" spans="21:22">
      <c r="U1203" s="304"/>
      <c r="V1203" s="304"/>
    </row>
    <row r="1204" spans="21:22">
      <c r="U1204" s="304"/>
      <c r="V1204" s="304"/>
    </row>
    <row r="1205" spans="21:22">
      <c r="U1205" s="304"/>
      <c r="V1205" s="304"/>
    </row>
    <row r="1206" spans="21:22">
      <c r="U1206" s="304"/>
      <c r="V1206" s="304"/>
    </row>
    <row r="1207" spans="21:22">
      <c r="U1207" s="304"/>
      <c r="V1207" s="304"/>
    </row>
    <row r="1208" spans="21:22">
      <c r="U1208" s="304"/>
      <c r="V1208" s="304"/>
    </row>
    <row r="1209" spans="21:22">
      <c r="U1209" s="304"/>
      <c r="V1209" s="304"/>
    </row>
    <row r="1210" spans="21:22">
      <c r="U1210" s="304"/>
      <c r="V1210" s="304"/>
    </row>
    <row r="1211" spans="21:22">
      <c r="U1211" s="304"/>
      <c r="V1211" s="304"/>
    </row>
    <row r="1212" spans="21:22">
      <c r="U1212" s="304"/>
      <c r="V1212" s="304"/>
    </row>
    <row r="1213" spans="21:22">
      <c r="U1213" s="304"/>
      <c r="V1213" s="304"/>
    </row>
    <row r="1214" spans="21:22">
      <c r="U1214" s="304"/>
      <c r="V1214" s="304"/>
    </row>
    <row r="1215" spans="21:22">
      <c r="U1215" s="304"/>
      <c r="V1215" s="304"/>
    </row>
    <row r="1216" spans="21:22">
      <c r="U1216" s="304"/>
      <c r="V1216" s="304"/>
    </row>
    <row r="1217" spans="21:22">
      <c r="U1217" s="304"/>
      <c r="V1217" s="304"/>
    </row>
    <row r="1218" spans="21:22">
      <c r="U1218" s="304"/>
      <c r="V1218" s="304"/>
    </row>
    <row r="1219" spans="21:22">
      <c r="U1219" s="304"/>
      <c r="V1219" s="304"/>
    </row>
    <row r="1220" spans="21:22">
      <c r="U1220" s="304"/>
      <c r="V1220" s="304"/>
    </row>
    <row r="1221" spans="21:22">
      <c r="U1221" s="304"/>
      <c r="V1221" s="304"/>
    </row>
    <row r="1222" spans="21:22">
      <c r="U1222" s="304"/>
      <c r="V1222" s="304"/>
    </row>
    <row r="1223" spans="21:22">
      <c r="U1223" s="304"/>
      <c r="V1223" s="304"/>
    </row>
    <row r="1224" spans="21:22">
      <c r="U1224" s="304"/>
      <c r="V1224" s="304"/>
    </row>
    <row r="1225" spans="21:22">
      <c r="U1225" s="304"/>
      <c r="V1225" s="304"/>
    </row>
    <row r="1226" spans="21:22">
      <c r="U1226" s="304"/>
      <c r="V1226" s="304"/>
    </row>
    <row r="1227" spans="21:22">
      <c r="U1227" s="304"/>
      <c r="V1227" s="304"/>
    </row>
    <row r="1228" spans="21:22">
      <c r="U1228" s="304"/>
      <c r="V1228" s="304"/>
    </row>
    <row r="1229" spans="21:22">
      <c r="U1229" s="304"/>
      <c r="V1229" s="304"/>
    </row>
    <row r="1230" spans="21:22">
      <c r="U1230" s="304"/>
      <c r="V1230" s="304"/>
    </row>
    <row r="1231" spans="21:22">
      <c r="U1231" s="304"/>
      <c r="V1231" s="304"/>
    </row>
    <row r="1232" spans="21:22">
      <c r="U1232" s="304"/>
      <c r="V1232" s="304"/>
    </row>
    <row r="1233" spans="21:22">
      <c r="U1233" s="304"/>
      <c r="V1233" s="304"/>
    </row>
    <row r="1234" spans="21:22">
      <c r="U1234" s="304"/>
      <c r="V1234" s="304"/>
    </row>
    <row r="1235" spans="21:22">
      <c r="U1235" s="304"/>
      <c r="V1235" s="304"/>
    </row>
    <row r="1236" spans="21:22">
      <c r="U1236" s="304"/>
      <c r="V1236" s="304"/>
    </row>
    <row r="1237" spans="21:22">
      <c r="U1237" s="304"/>
      <c r="V1237" s="304"/>
    </row>
    <row r="1238" spans="21:22">
      <c r="U1238" s="304"/>
      <c r="V1238" s="304"/>
    </row>
    <row r="1239" spans="21:22">
      <c r="U1239" s="304"/>
      <c r="V1239" s="304"/>
    </row>
    <row r="1240" spans="21:22">
      <c r="U1240" s="304"/>
      <c r="V1240" s="304"/>
    </row>
    <row r="1241" spans="21:22">
      <c r="U1241" s="304"/>
      <c r="V1241" s="304"/>
    </row>
    <row r="1242" spans="21:22">
      <c r="U1242" s="304"/>
      <c r="V1242" s="304"/>
    </row>
    <row r="1243" spans="21:22">
      <c r="U1243" s="304"/>
      <c r="V1243" s="304"/>
    </row>
    <row r="1244" spans="21:22">
      <c r="U1244" s="304"/>
      <c r="V1244" s="304"/>
    </row>
    <row r="1245" spans="21:22">
      <c r="U1245" s="304"/>
      <c r="V1245" s="304"/>
    </row>
    <row r="1246" spans="21:22">
      <c r="U1246" s="304"/>
      <c r="V1246" s="304"/>
    </row>
    <row r="1247" spans="21:22">
      <c r="U1247" s="304"/>
      <c r="V1247" s="304"/>
    </row>
    <row r="1248" spans="21:22">
      <c r="U1248" s="304"/>
      <c r="V1248" s="304"/>
    </row>
    <row r="1249" spans="21:22">
      <c r="U1249" s="304"/>
      <c r="V1249" s="304"/>
    </row>
    <row r="1250" spans="21:22">
      <c r="U1250" s="304"/>
      <c r="V1250" s="304"/>
    </row>
    <row r="1251" spans="21:22">
      <c r="U1251" s="304"/>
      <c r="V1251" s="304"/>
    </row>
    <row r="1252" spans="21:22">
      <c r="U1252" s="304"/>
      <c r="V1252" s="304"/>
    </row>
    <row r="1253" spans="21:22">
      <c r="U1253" s="304"/>
      <c r="V1253" s="304"/>
    </row>
    <row r="1254" spans="21:22">
      <c r="U1254" s="304"/>
      <c r="V1254" s="304"/>
    </row>
    <row r="1255" spans="21:22">
      <c r="U1255" s="304"/>
      <c r="V1255" s="304"/>
    </row>
    <row r="1256" spans="21:22">
      <c r="U1256" s="304"/>
      <c r="V1256" s="304"/>
    </row>
    <row r="1257" spans="21:22">
      <c r="U1257" s="304"/>
      <c r="V1257" s="304"/>
    </row>
    <row r="1258" spans="21:22">
      <c r="U1258" s="304"/>
      <c r="V1258" s="304"/>
    </row>
    <row r="1259" spans="21:22">
      <c r="U1259" s="304"/>
      <c r="V1259" s="304"/>
    </row>
    <row r="1260" spans="21:22">
      <c r="U1260" s="304"/>
      <c r="V1260" s="304"/>
    </row>
    <row r="1261" spans="21:22">
      <c r="U1261" s="304"/>
      <c r="V1261" s="304"/>
    </row>
    <row r="1262" spans="21:22">
      <c r="U1262" s="304"/>
      <c r="V1262" s="304"/>
    </row>
    <row r="1263" spans="21:22">
      <c r="U1263" s="304"/>
      <c r="V1263" s="304"/>
    </row>
    <row r="1264" spans="21:22">
      <c r="U1264" s="304"/>
      <c r="V1264" s="304"/>
    </row>
    <row r="1265" spans="21:22">
      <c r="U1265" s="304"/>
      <c r="V1265" s="304"/>
    </row>
    <row r="1266" spans="21:22">
      <c r="U1266" s="304"/>
      <c r="V1266" s="304"/>
    </row>
    <row r="1267" spans="21:22">
      <c r="U1267" s="304"/>
      <c r="V1267" s="304"/>
    </row>
    <row r="1268" spans="21:22">
      <c r="U1268" s="304"/>
      <c r="V1268" s="304"/>
    </row>
    <row r="1269" spans="21:22">
      <c r="U1269" s="304"/>
      <c r="V1269" s="304"/>
    </row>
    <row r="1270" spans="21:22">
      <c r="U1270" s="304"/>
      <c r="V1270" s="304"/>
    </row>
    <row r="1271" spans="21:22">
      <c r="U1271" s="304"/>
      <c r="V1271" s="304"/>
    </row>
    <row r="1272" spans="21:22">
      <c r="U1272" s="304"/>
      <c r="V1272" s="304"/>
    </row>
    <row r="1273" spans="21:22">
      <c r="U1273" s="304"/>
      <c r="V1273" s="304"/>
    </row>
    <row r="1274" spans="21:22">
      <c r="U1274" s="304"/>
      <c r="V1274" s="304"/>
    </row>
    <row r="1275" spans="21:22">
      <c r="U1275" s="304"/>
      <c r="V1275" s="304"/>
    </row>
    <row r="1276" spans="21:22">
      <c r="U1276" s="304"/>
      <c r="V1276" s="304"/>
    </row>
    <row r="1277" spans="21:22">
      <c r="U1277" s="304"/>
      <c r="V1277" s="304"/>
    </row>
    <row r="1278" spans="21:22">
      <c r="U1278" s="304"/>
      <c r="V1278" s="304"/>
    </row>
    <row r="1279" spans="21:22">
      <c r="U1279" s="304"/>
      <c r="V1279" s="304"/>
    </row>
    <row r="1280" spans="21:22">
      <c r="U1280" s="304"/>
      <c r="V1280" s="304"/>
    </row>
    <row r="1281" spans="21:22">
      <c r="U1281" s="304"/>
      <c r="V1281" s="304"/>
    </row>
    <row r="1282" spans="21:22">
      <c r="U1282" s="304"/>
      <c r="V1282" s="304"/>
    </row>
    <row r="1283" spans="21:22">
      <c r="U1283" s="304"/>
      <c r="V1283" s="304"/>
    </row>
    <row r="1284" spans="21:22">
      <c r="U1284" s="304"/>
      <c r="V1284" s="304"/>
    </row>
    <row r="1285" spans="21:22">
      <c r="U1285" s="304"/>
      <c r="V1285" s="304"/>
    </row>
    <row r="1286" spans="21:22">
      <c r="U1286" s="304"/>
      <c r="V1286" s="304"/>
    </row>
    <row r="1287" spans="21:22">
      <c r="U1287" s="304"/>
      <c r="V1287" s="304"/>
    </row>
    <row r="1288" spans="21:22">
      <c r="U1288" s="304"/>
      <c r="V1288" s="304"/>
    </row>
    <row r="1289" spans="21:22">
      <c r="U1289" s="304"/>
      <c r="V1289" s="304"/>
    </row>
    <row r="1290" spans="21:22">
      <c r="U1290" s="304"/>
      <c r="V1290" s="304"/>
    </row>
    <row r="1291" spans="21:22">
      <c r="U1291" s="304"/>
      <c r="V1291" s="304"/>
    </row>
    <row r="1292" spans="21:22">
      <c r="U1292" s="304"/>
      <c r="V1292" s="304"/>
    </row>
    <row r="1293" spans="21:22">
      <c r="U1293" s="304"/>
      <c r="V1293" s="304"/>
    </row>
    <row r="1294" spans="21:22">
      <c r="U1294" s="304"/>
      <c r="V1294" s="304"/>
    </row>
    <row r="1295" spans="21:22">
      <c r="U1295" s="304"/>
      <c r="V1295" s="304"/>
    </row>
    <row r="1296" spans="21:22">
      <c r="U1296" s="304"/>
      <c r="V1296" s="304"/>
    </row>
    <row r="1297" spans="21:22">
      <c r="U1297" s="304"/>
      <c r="V1297" s="304"/>
    </row>
    <row r="1298" spans="21:22">
      <c r="U1298" s="304"/>
      <c r="V1298" s="304"/>
    </row>
    <row r="1299" spans="21:22">
      <c r="U1299" s="304"/>
      <c r="V1299" s="304"/>
    </row>
    <row r="1300" spans="21:22">
      <c r="U1300" s="304"/>
      <c r="V1300" s="304"/>
    </row>
    <row r="1301" spans="21:22">
      <c r="U1301" s="304"/>
      <c r="V1301" s="304"/>
    </row>
    <row r="1302" spans="21:22">
      <c r="U1302" s="304"/>
      <c r="V1302" s="304"/>
    </row>
    <row r="1303" spans="21:22">
      <c r="U1303" s="304"/>
      <c r="V1303" s="304"/>
    </row>
    <row r="1304" spans="21:22">
      <c r="U1304" s="304"/>
      <c r="V1304" s="304"/>
    </row>
    <row r="1305" spans="21:22">
      <c r="U1305" s="304"/>
      <c r="V1305" s="304"/>
    </row>
    <row r="1306" spans="21:22">
      <c r="U1306" s="304"/>
      <c r="V1306" s="304"/>
    </row>
    <row r="1307" spans="21:22">
      <c r="U1307" s="304"/>
      <c r="V1307" s="304"/>
    </row>
    <row r="1308" spans="21:22">
      <c r="U1308" s="304"/>
      <c r="V1308" s="304"/>
    </row>
    <row r="1309" spans="21:22">
      <c r="U1309" s="304"/>
      <c r="V1309" s="304"/>
    </row>
    <row r="1310" spans="21:22">
      <c r="U1310" s="304"/>
      <c r="V1310" s="304"/>
    </row>
    <row r="1311" spans="21:22">
      <c r="U1311" s="304"/>
      <c r="V1311" s="304"/>
    </row>
    <row r="1312" spans="21:22">
      <c r="U1312" s="304"/>
      <c r="V1312" s="304"/>
    </row>
    <row r="1313" spans="21:22">
      <c r="U1313" s="304"/>
      <c r="V1313" s="304"/>
    </row>
    <row r="1314" spans="21:22">
      <c r="U1314" s="304"/>
      <c r="V1314" s="304"/>
    </row>
    <row r="1315" spans="21:22">
      <c r="U1315" s="304"/>
      <c r="V1315" s="304"/>
    </row>
    <row r="1316" spans="21:22">
      <c r="U1316" s="304"/>
      <c r="V1316" s="304"/>
    </row>
    <row r="1317" spans="21:22">
      <c r="U1317" s="304"/>
      <c r="V1317" s="304"/>
    </row>
    <row r="1318" spans="21:22">
      <c r="U1318" s="304"/>
      <c r="V1318" s="304"/>
    </row>
    <row r="1319" spans="21:22">
      <c r="U1319" s="304"/>
      <c r="V1319" s="304"/>
    </row>
    <row r="1320" spans="21:22">
      <c r="U1320" s="304"/>
      <c r="V1320" s="304"/>
    </row>
    <row r="1321" spans="21:22">
      <c r="U1321" s="304"/>
      <c r="V1321" s="304"/>
    </row>
    <row r="1322" spans="21:22">
      <c r="U1322" s="304"/>
      <c r="V1322" s="304"/>
    </row>
    <row r="1323" spans="21:22">
      <c r="U1323" s="304"/>
      <c r="V1323" s="304"/>
    </row>
    <row r="1324" spans="21:22">
      <c r="U1324" s="304"/>
      <c r="V1324" s="304"/>
    </row>
    <row r="1325" spans="21:22">
      <c r="U1325" s="304"/>
      <c r="V1325" s="304"/>
    </row>
    <row r="1326" spans="21:22">
      <c r="U1326" s="304"/>
      <c r="V1326" s="304"/>
    </row>
    <row r="1327" spans="21:22">
      <c r="U1327" s="304"/>
      <c r="V1327" s="304"/>
    </row>
    <row r="1328" spans="21:22">
      <c r="U1328" s="304"/>
      <c r="V1328" s="304"/>
    </row>
    <row r="1329" spans="21:22">
      <c r="U1329" s="304"/>
      <c r="V1329" s="304"/>
    </row>
    <row r="1330" spans="21:22">
      <c r="U1330" s="304"/>
      <c r="V1330" s="304"/>
    </row>
    <row r="1331" spans="21:22">
      <c r="U1331" s="304"/>
      <c r="V1331" s="304"/>
    </row>
    <row r="1332" spans="21:22">
      <c r="U1332" s="304"/>
      <c r="V1332" s="304"/>
    </row>
    <row r="1333" spans="21:22">
      <c r="U1333" s="304"/>
      <c r="V1333" s="304"/>
    </row>
    <row r="1334" spans="21:22">
      <c r="U1334" s="304"/>
      <c r="V1334" s="304"/>
    </row>
    <row r="1335" spans="21:22">
      <c r="U1335" s="304"/>
      <c r="V1335" s="304"/>
    </row>
    <row r="1336" spans="21:22">
      <c r="U1336" s="304"/>
      <c r="V1336" s="304"/>
    </row>
    <row r="1337" spans="21:22">
      <c r="U1337" s="304"/>
      <c r="V1337" s="304"/>
    </row>
    <row r="1338" spans="21:22">
      <c r="U1338" s="304"/>
      <c r="V1338" s="304"/>
    </row>
    <row r="1339" spans="21:22">
      <c r="U1339" s="304"/>
      <c r="V1339" s="304"/>
    </row>
    <row r="1340" spans="21:22">
      <c r="U1340" s="304"/>
      <c r="V1340" s="304"/>
    </row>
    <row r="1341" spans="21:22">
      <c r="U1341" s="304"/>
      <c r="V1341" s="304"/>
    </row>
    <row r="1342" spans="21:22">
      <c r="U1342" s="304"/>
      <c r="V1342" s="304"/>
    </row>
    <row r="1343" spans="21:22">
      <c r="U1343" s="304"/>
      <c r="V1343" s="304"/>
    </row>
    <row r="1344" spans="21:22">
      <c r="U1344" s="304"/>
      <c r="V1344" s="304"/>
    </row>
    <row r="1345" spans="21:22">
      <c r="U1345" s="304"/>
      <c r="V1345" s="304"/>
    </row>
    <row r="1346" spans="21:22">
      <c r="U1346" s="304"/>
      <c r="V1346" s="304"/>
    </row>
    <row r="1347" spans="21:22">
      <c r="U1347" s="304"/>
      <c r="V1347" s="304"/>
    </row>
    <row r="1348" spans="21:22">
      <c r="U1348" s="304"/>
      <c r="V1348" s="304"/>
    </row>
    <row r="1349" spans="21:22">
      <c r="U1349" s="304"/>
      <c r="V1349" s="304"/>
    </row>
    <row r="1350" spans="21:22">
      <c r="U1350" s="304"/>
      <c r="V1350" s="304"/>
    </row>
    <row r="1351" spans="21:22">
      <c r="U1351" s="304"/>
      <c r="V1351" s="304"/>
    </row>
    <row r="1352" spans="21:22">
      <c r="U1352" s="304"/>
      <c r="V1352" s="304"/>
    </row>
    <row r="1353" spans="21:22">
      <c r="U1353" s="304"/>
      <c r="V1353" s="304"/>
    </row>
    <row r="1354" spans="21:22">
      <c r="U1354" s="304"/>
      <c r="V1354" s="304"/>
    </row>
    <row r="1355" spans="21:22">
      <c r="U1355" s="304"/>
      <c r="V1355" s="304"/>
    </row>
    <row r="1356" spans="21:22">
      <c r="U1356" s="304"/>
      <c r="V1356" s="304"/>
    </row>
    <row r="1357" spans="21:22">
      <c r="U1357" s="304"/>
      <c r="V1357" s="304"/>
    </row>
    <row r="1358" spans="21:22">
      <c r="U1358" s="304"/>
      <c r="V1358" s="304"/>
    </row>
    <row r="1359" spans="21:22">
      <c r="U1359" s="304"/>
      <c r="V1359" s="304"/>
    </row>
    <row r="1360" spans="21:22">
      <c r="U1360" s="304"/>
      <c r="V1360" s="304"/>
    </row>
    <row r="1361" spans="21:22">
      <c r="U1361" s="304"/>
      <c r="V1361" s="304"/>
    </row>
    <row r="1362" spans="21:22">
      <c r="U1362" s="304"/>
      <c r="V1362" s="304"/>
    </row>
    <row r="1363" spans="21:22">
      <c r="U1363" s="304"/>
      <c r="V1363" s="304"/>
    </row>
    <row r="1364" spans="21:22">
      <c r="U1364" s="304"/>
      <c r="V1364" s="304"/>
    </row>
    <row r="1365" spans="21:22">
      <c r="U1365" s="304"/>
      <c r="V1365" s="304"/>
    </row>
    <row r="1366" spans="21:22">
      <c r="U1366" s="304"/>
      <c r="V1366" s="304"/>
    </row>
    <row r="1367" spans="21:22">
      <c r="U1367" s="304"/>
      <c r="V1367" s="304"/>
    </row>
    <row r="1368" spans="21:22">
      <c r="U1368" s="304"/>
      <c r="V1368" s="304"/>
    </row>
    <row r="1369" spans="21:22">
      <c r="U1369" s="304"/>
      <c r="V1369" s="304"/>
    </row>
    <row r="1370" spans="21:22">
      <c r="U1370" s="304"/>
      <c r="V1370" s="304"/>
    </row>
    <row r="1371" spans="21:22">
      <c r="U1371" s="304"/>
      <c r="V1371" s="304"/>
    </row>
    <row r="1372" spans="21:22">
      <c r="U1372" s="304"/>
      <c r="V1372" s="304"/>
    </row>
    <row r="1373" spans="21:22">
      <c r="U1373" s="304"/>
      <c r="V1373" s="304"/>
    </row>
    <row r="1374" spans="21:22">
      <c r="U1374" s="304"/>
      <c r="V1374" s="304"/>
    </row>
    <row r="1375" spans="21:22">
      <c r="U1375" s="304"/>
      <c r="V1375" s="304"/>
    </row>
    <row r="1376" spans="21:22">
      <c r="U1376" s="304"/>
      <c r="V1376" s="304"/>
    </row>
    <row r="1377" spans="21:22">
      <c r="U1377" s="304"/>
      <c r="V1377" s="304"/>
    </row>
    <row r="1378" spans="21:22">
      <c r="U1378" s="304"/>
      <c r="V1378" s="304"/>
    </row>
    <row r="1379" spans="21:22">
      <c r="U1379" s="304"/>
      <c r="V1379" s="304"/>
    </row>
    <row r="1380" spans="21:22">
      <c r="U1380" s="304"/>
      <c r="V1380" s="304"/>
    </row>
    <row r="1381" spans="21:22">
      <c r="U1381" s="304"/>
      <c r="V1381" s="304"/>
    </row>
    <row r="1382" spans="21:22">
      <c r="U1382" s="304"/>
      <c r="V1382" s="304"/>
    </row>
    <row r="1383" spans="21:22">
      <c r="U1383" s="304"/>
      <c r="V1383" s="304"/>
    </row>
    <row r="1384" spans="21:22">
      <c r="U1384" s="304"/>
      <c r="V1384" s="304"/>
    </row>
    <row r="1385" spans="21:22">
      <c r="U1385" s="304"/>
      <c r="V1385" s="304"/>
    </row>
    <row r="1386" spans="21:22">
      <c r="U1386" s="304"/>
      <c r="V1386" s="304"/>
    </row>
    <row r="1387" spans="21:22">
      <c r="U1387" s="304"/>
      <c r="V1387" s="304"/>
    </row>
    <row r="1388" spans="21:22">
      <c r="U1388" s="304"/>
      <c r="V1388" s="304"/>
    </row>
    <row r="1389" spans="21:22">
      <c r="U1389" s="304"/>
      <c r="V1389" s="304"/>
    </row>
    <row r="1390" spans="21:22">
      <c r="U1390" s="304"/>
      <c r="V1390" s="304"/>
    </row>
    <row r="1391" spans="21:22">
      <c r="U1391" s="304"/>
      <c r="V1391" s="304"/>
    </row>
    <row r="1392" spans="21:22">
      <c r="U1392" s="304"/>
      <c r="V1392" s="304"/>
    </row>
    <row r="1393" spans="21:22">
      <c r="U1393" s="304"/>
      <c r="V1393" s="304"/>
    </row>
    <row r="1394" spans="21:22">
      <c r="U1394" s="304"/>
      <c r="V1394" s="304"/>
    </row>
    <row r="1395" spans="21:22">
      <c r="U1395" s="304"/>
      <c r="V1395" s="304"/>
    </row>
    <row r="1396" spans="21:22">
      <c r="U1396" s="304"/>
      <c r="V1396" s="304"/>
    </row>
    <row r="1397" spans="21:22">
      <c r="U1397" s="304"/>
      <c r="V1397" s="304"/>
    </row>
    <row r="1398" spans="21:22">
      <c r="U1398" s="304"/>
      <c r="V1398" s="304"/>
    </row>
    <row r="1399" spans="21:22">
      <c r="U1399" s="304"/>
      <c r="V1399" s="304"/>
    </row>
    <row r="1400" spans="21:22">
      <c r="U1400" s="304"/>
      <c r="V1400" s="304"/>
    </row>
    <row r="1401" spans="21:22">
      <c r="U1401" s="304"/>
      <c r="V1401" s="304"/>
    </row>
    <row r="1402" spans="21:22">
      <c r="U1402" s="304"/>
      <c r="V1402" s="304"/>
    </row>
    <row r="1403" spans="21:22">
      <c r="U1403" s="304"/>
      <c r="V1403" s="304"/>
    </row>
    <row r="1404" spans="21:22">
      <c r="U1404" s="304"/>
      <c r="V1404" s="304"/>
    </row>
    <row r="1405" spans="21:22">
      <c r="U1405" s="304"/>
      <c r="V1405" s="304"/>
    </row>
    <row r="1406" spans="21:22">
      <c r="U1406" s="304"/>
      <c r="V1406" s="304"/>
    </row>
    <row r="1407" spans="21:22">
      <c r="U1407" s="304"/>
      <c r="V1407" s="304"/>
    </row>
    <row r="1408" spans="21:22">
      <c r="U1408" s="304"/>
      <c r="V1408" s="304"/>
    </row>
    <row r="1409" spans="21:22">
      <c r="U1409" s="304"/>
      <c r="V1409" s="304"/>
    </row>
    <row r="1410" spans="21:22">
      <c r="U1410" s="304"/>
      <c r="V1410" s="304"/>
    </row>
    <row r="1411" spans="21:22">
      <c r="U1411" s="304"/>
      <c r="V1411" s="304"/>
    </row>
    <row r="1412" spans="21:22">
      <c r="U1412" s="304"/>
      <c r="V1412" s="304"/>
    </row>
    <row r="1413" spans="21:22">
      <c r="U1413" s="304"/>
      <c r="V1413" s="304"/>
    </row>
    <row r="1414" spans="21:22">
      <c r="U1414" s="304"/>
      <c r="V1414" s="304"/>
    </row>
    <row r="1415" spans="21:22">
      <c r="U1415" s="304"/>
      <c r="V1415" s="304"/>
    </row>
    <row r="1416" spans="21:22">
      <c r="U1416" s="304"/>
      <c r="V1416" s="304"/>
    </row>
    <row r="1417" spans="21:22">
      <c r="U1417" s="304"/>
      <c r="V1417" s="304"/>
    </row>
    <row r="1418" spans="21:22">
      <c r="U1418" s="304"/>
      <c r="V1418" s="304"/>
    </row>
    <row r="1419" spans="21:22">
      <c r="U1419" s="304"/>
      <c r="V1419" s="304"/>
    </row>
    <row r="1420" spans="21:22">
      <c r="U1420" s="304"/>
      <c r="V1420" s="304"/>
    </row>
    <row r="1421" spans="21:22">
      <c r="U1421" s="304"/>
      <c r="V1421" s="304"/>
    </row>
    <row r="1422" spans="21:22">
      <c r="U1422" s="304"/>
      <c r="V1422" s="304"/>
    </row>
    <row r="1423" spans="21:22">
      <c r="U1423" s="304"/>
      <c r="V1423" s="304"/>
    </row>
    <row r="1424" spans="21:22">
      <c r="U1424" s="304"/>
      <c r="V1424" s="304"/>
    </row>
    <row r="1425" spans="21:22">
      <c r="U1425" s="304"/>
      <c r="V1425" s="304"/>
    </row>
    <row r="1426" spans="21:22">
      <c r="U1426" s="304"/>
      <c r="V1426" s="304"/>
    </row>
    <row r="1427" spans="21:22">
      <c r="U1427" s="304"/>
      <c r="V1427" s="304"/>
    </row>
    <row r="1428" spans="21:22">
      <c r="U1428" s="304"/>
      <c r="V1428" s="304"/>
    </row>
    <row r="1429" spans="21:22">
      <c r="U1429" s="304"/>
      <c r="V1429" s="304"/>
    </row>
    <row r="1430" spans="21:22">
      <c r="U1430" s="304"/>
      <c r="V1430" s="304"/>
    </row>
    <row r="1431" spans="21:22">
      <c r="U1431" s="304"/>
      <c r="V1431" s="304"/>
    </row>
    <row r="1432" spans="21:22">
      <c r="U1432" s="304"/>
      <c r="V1432" s="304"/>
    </row>
    <row r="1433" spans="21:22">
      <c r="U1433" s="304"/>
      <c r="V1433" s="304"/>
    </row>
    <row r="1434" spans="21:22">
      <c r="U1434" s="304"/>
      <c r="V1434" s="304"/>
    </row>
    <row r="1435" spans="21:22">
      <c r="U1435" s="304"/>
      <c r="V1435" s="304"/>
    </row>
    <row r="1436" spans="21:22">
      <c r="U1436" s="304"/>
      <c r="V1436" s="304"/>
    </row>
    <row r="1437" spans="21:22">
      <c r="U1437" s="304"/>
      <c r="V1437" s="304"/>
    </row>
    <row r="1438" spans="21:22">
      <c r="U1438" s="304"/>
      <c r="V1438" s="304"/>
    </row>
    <row r="1439" spans="21:22">
      <c r="U1439" s="304"/>
      <c r="V1439" s="304"/>
    </row>
    <row r="1440" spans="21:22">
      <c r="U1440" s="304"/>
      <c r="V1440" s="304"/>
    </row>
    <row r="1441" spans="21:22">
      <c r="U1441" s="304"/>
      <c r="V1441" s="304"/>
    </row>
    <row r="1442" spans="21:22">
      <c r="U1442" s="304"/>
      <c r="V1442" s="304"/>
    </row>
    <row r="1443" spans="21:22">
      <c r="U1443" s="304"/>
      <c r="V1443" s="304"/>
    </row>
    <row r="1444" spans="21:22">
      <c r="U1444" s="304"/>
      <c r="V1444" s="304"/>
    </row>
    <row r="1445" spans="21:22">
      <c r="U1445" s="304"/>
      <c r="V1445" s="304"/>
    </row>
    <row r="1446" spans="21:22">
      <c r="U1446" s="304"/>
      <c r="V1446" s="304"/>
    </row>
    <row r="1447" spans="21:22">
      <c r="U1447" s="304"/>
      <c r="V1447" s="304"/>
    </row>
    <row r="1448" spans="21:22">
      <c r="U1448" s="304"/>
      <c r="V1448" s="304"/>
    </row>
    <row r="1449" spans="21:22">
      <c r="U1449" s="304"/>
      <c r="V1449" s="304"/>
    </row>
    <row r="1450" spans="21:22">
      <c r="U1450" s="304"/>
      <c r="V1450" s="304"/>
    </row>
    <row r="1451" spans="21:22">
      <c r="U1451" s="304"/>
      <c r="V1451" s="304"/>
    </row>
    <row r="1452" spans="21:22">
      <c r="U1452" s="304"/>
      <c r="V1452" s="304"/>
    </row>
    <row r="1453" spans="21:22">
      <c r="U1453" s="304"/>
      <c r="V1453" s="304"/>
    </row>
    <row r="1454" spans="21:22">
      <c r="U1454" s="304"/>
      <c r="V1454" s="304"/>
    </row>
    <row r="1455" spans="21:22">
      <c r="U1455" s="304"/>
      <c r="V1455" s="304"/>
    </row>
    <row r="1456" spans="21:22">
      <c r="U1456" s="304"/>
      <c r="V1456" s="304"/>
    </row>
    <row r="1457" spans="21:22">
      <c r="U1457" s="304"/>
      <c r="V1457" s="304"/>
    </row>
    <row r="1458" spans="21:22">
      <c r="U1458" s="304"/>
      <c r="V1458" s="304"/>
    </row>
    <row r="1459" spans="21:22">
      <c r="U1459" s="304"/>
      <c r="V1459" s="304"/>
    </row>
    <row r="1460" spans="21:22">
      <c r="U1460" s="304"/>
      <c r="V1460" s="304"/>
    </row>
    <row r="1461" spans="21:22">
      <c r="U1461" s="304"/>
      <c r="V1461" s="304"/>
    </row>
    <row r="1462" spans="21:22">
      <c r="U1462" s="304"/>
      <c r="V1462" s="304"/>
    </row>
    <row r="1463" spans="21:22">
      <c r="U1463" s="304"/>
      <c r="V1463" s="304"/>
    </row>
    <row r="1464" spans="21:22">
      <c r="U1464" s="304"/>
      <c r="V1464" s="304"/>
    </row>
    <row r="1465" spans="21:22">
      <c r="U1465" s="304"/>
      <c r="V1465" s="304"/>
    </row>
    <row r="1466" spans="21:22">
      <c r="U1466" s="304"/>
      <c r="V1466" s="304"/>
    </row>
    <row r="1467" spans="21:22">
      <c r="U1467" s="304"/>
      <c r="V1467" s="304"/>
    </row>
    <row r="1468" spans="21:22">
      <c r="U1468" s="304"/>
      <c r="V1468" s="304"/>
    </row>
    <row r="1469" spans="21:22">
      <c r="U1469" s="304"/>
      <c r="V1469" s="304"/>
    </row>
    <row r="1470" spans="21:22">
      <c r="U1470" s="304"/>
      <c r="V1470" s="304"/>
    </row>
    <row r="1471" spans="21:22">
      <c r="U1471" s="304"/>
      <c r="V1471" s="304"/>
    </row>
    <row r="1472" spans="21:22">
      <c r="U1472" s="304"/>
      <c r="V1472" s="304"/>
    </row>
    <row r="1473" spans="21:22">
      <c r="U1473" s="304"/>
      <c r="V1473" s="304"/>
    </row>
    <row r="1474" spans="21:22">
      <c r="U1474" s="304"/>
      <c r="V1474" s="304"/>
    </row>
    <row r="1475" spans="21:22">
      <c r="U1475" s="304"/>
      <c r="V1475" s="304"/>
    </row>
    <row r="1476" spans="21:22">
      <c r="U1476" s="304"/>
      <c r="V1476" s="304"/>
    </row>
    <row r="1477" spans="21:22">
      <c r="U1477" s="304"/>
      <c r="V1477" s="304"/>
    </row>
    <row r="1478" spans="21:22">
      <c r="U1478" s="304"/>
      <c r="V1478" s="304"/>
    </row>
    <row r="1479" spans="21:22">
      <c r="U1479" s="304"/>
      <c r="V1479" s="304"/>
    </row>
    <row r="1480" spans="21:22">
      <c r="U1480" s="304"/>
      <c r="V1480" s="304"/>
    </row>
    <row r="1481" spans="21:22">
      <c r="U1481" s="304"/>
      <c r="V1481" s="304"/>
    </row>
    <row r="1482" spans="21:22">
      <c r="U1482" s="304"/>
      <c r="V1482" s="304"/>
    </row>
    <row r="1483" spans="21:22">
      <c r="U1483" s="304"/>
      <c r="V1483" s="304"/>
    </row>
    <row r="1484" spans="21:22">
      <c r="U1484" s="304"/>
      <c r="V1484" s="304"/>
    </row>
    <row r="1485" spans="21:22">
      <c r="U1485" s="304"/>
      <c r="V1485" s="304"/>
    </row>
    <row r="1486" spans="21:22">
      <c r="U1486" s="304"/>
      <c r="V1486" s="304"/>
    </row>
    <row r="1487" spans="21:22">
      <c r="U1487" s="304"/>
      <c r="V1487" s="304"/>
    </row>
    <row r="1488" spans="21:22">
      <c r="U1488" s="304"/>
      <c r="V1488" s="304"/>
    </row>
    <row r="1489" spans="21:22">
      <c r="U1489" s="304"/>
      <c r="V1489" s="304"/>
    </row>
    <row r="1490" spans="21:22">
      <c r="U1490" s="304"/>
      <c r="V1490" s="304"/>
    </row>
    <row r="1491" spans="21:22">
      <c r="U1491" s="304"/>
      <c r="V1491" s="304"/>
    </row>
    <row r="1492" spans="21:22">
      <c r="U1492" s="304"/>
      <c r="V1492" s="304"/>
    </row>
    <row r="1493" spans="21:22">
      <c r="U1493" s="304"/>
      <c r="V1493" s="304"/>
    </row>
    <row r="1494" spans="21:22">
      <c r="U1494" s="304"/>
      <c r="V1494" s="304"/>
    </row>
    <row r="1495" spans="21:22">
      <c r="U1495" s="304"/>
      <c r="V1495" s="304"/>
    </row>
    <row r="1496" spans="21:22">
      <c r="U1496" s="304"/>
      <c r="V1496" s="304"/>
    </row>
    <row r="1497" spans="21:22">
      <c r="U1497" s="304"/>
      <c r="V1497" s="304"/>
    </row>
    <row r="1498" spans="21:22">
      <c r="U1498" s="304"/>
      <c r="V1498" s="304"/>
    </row>
    <row r="1499" spans="21:22">
      <c r="U1499" s="304"/>
      <c r="V1499" s="304"/>
    </row>
    <row r="1500" spans="21:22">
      <c r="U1500" s="304"/>
      <c r="V1500" s="304"/>
    </row>
    <row r="1501" spans="21:22">
      <c r="U1501" s="304"/>
      <c r="V1501" s="304"/>
    </row>
    <row r="1502" spans="21:22">
      <c r="U1502" s="304"/>
      <c r="V1502" s="304"/>
    </row>
    <row r="1503" spans="21:22">
      <c r="U1503" s="304"/>
      <c r="V1503" s="304"/>
    </row>
    <row r="1504" spans="21:22">
      <c r="U1504" s="304"/>
      <c r="V1504" s="304"/>
    </row>
    <row r="1505" spans="21:22">
      <c r="U1505" s="304"/>
      <c r="V1505" s="30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91"/>
  <sheetViews>
    <sheetView workbookViewId="0">
      <selection activeCell="D4" sqref="D4"/>
    </sheetView>
  </sheetViews>
  <sheetFormatPr defaultColWidth="10.81640625" defaultRowHeight="13.2"/>
  <cols>
    <col min="1" max="1" width="10.81640625" style="351"/>
    <col min="2" max="2" width="10.81640625" style="314"/>
    <col min="3" max="3" width="10.81640625" style="352"/>
    <col min="4" max="4" width="10.81640625" style="356"/>
    <col min="5" max="7" width="10.81640625" style="311"/>
    <col min="8" max="9" width="10.81640625" style="314"/>
    <col min="10" max="10" width="10.81640625" style="352"/>
    <col min="11" max="11" width="10.81640625" style="372"/>
    <col min="12" max="19" width="10.81640625" style="311"/>
    <col min="20" max="20" width="10.81640625" style="376"/>
    <col min="21" max="21" width="10.81640625" style="378"/>
    <col min="22" max="22" width="10.81640625" style="311"/>
    <col min="23" max="23" width="10.81640625" style="376"/>
    <col min="24" max="24" width="10.81640625" style="372"/>
    <col min="25" max="28" width="10.81640625" style="314"/>
    <col min="29" max="29" width="10.81640625" style="352"/>
    <col min="30" max="16384" width="10.81640625" style="314"/>
  </cols>
  <sheetData>
    <row r="1" spans="1:32">
      <c r="A1" s="314"/>
      <c r="C1" s="314"/>
      <c r="D1" s="311"/>
      <c r="J1" s="314"/>
      <c r="K1" s="314"/>
      <c r="T1" s="311"/>
      <c r="U1" s="311"/>
      <c r="W1" s="311"/>
      <c r="X1" s="314"/>
      <c r="AC1" s="314"/>
    </row>
    <row r="2" spans="1:32">
      <c r="A2" s="314"/>
      <c r="C2" s="314"/>
      <c r="D2" s="311"/>
      <c r="J2" s="314"/>
      <c r="K2" s="314"/>
      <c r="T2" s="311"/>
      <c r="U2" s="311"/>
      <c r="W2" s="311"/>
      <c r="X2" s="314"/>
      <c r="AC2" s="314"/>
    </row>
    <row r="3" spans="1:32">
      <c r="A3" s="314"/>
      <c r="C3" s="314"/>
      <c r="D3" s="311"/>
      <c r="J3" s="314"/>
      <c r="K3" s="314"/>
      <c r="T3" s="311"/>
      <c r="U3" s="311"/>
      <c r="W3" s="311"/>
      <c r="X3" s="314"/>
      <c r="AC3" s="314"/>
    </row>
    <row r="4" spans="1:32">
      <c r="A4" s="314"/>
      <c r="C4" s="314"/>
      <c r="D4" s="311"/>
      <c r="J4" s="314"/>
      <c r="K4" s="314"/>
      <c r="T4" s="311"/>
      <c r="U4" s="311"/>
      <c r="W4" s="311"/>
      <c r="X4" s="314"/>
      <c r="AC4" s="314"/>
    </row>
    <row r="5" spans="1:32">
      <c r="A5" s="314"/>
      <c r="C5" s="314"/>
      <c r="D5" s="311"/>
      <c r="J5" s="314"/>
      <c r="K5" s="314"/>
      <c r="T5" s="311"/>
      <c r="U5" s="311"/>
      <c r="W5" s="311"/>
      <c r="X5" s="314"/>
      <c r="AC5" s="314"/>
    </row>
    <row r="6" spans="1:32">
      <c r="A6" s="314"/>
      <c r="C6" s="314"/>
      <c r="D6" s="311"/>
      <c r="J6" s="314"/>
      <c r="K6" s="314"/>
      <c r="T6" s="311"/>
      <c r="U6" s="311"/>
      <c r="W6" s="311"/>
      <c r="X6" s="314"/>
      <c r="AC6" s="314"/>
    </row>
    <row r="7" spans="1:32">
      <c r="A7" s="314"/>
      <c r="C7" s="314"/>
      <c r="D7" s="311"/>
      <c r="J7" s="314"/>
      <c r="K7" s="314"/>
      <c r="T7" s="311"/>
      <c r="U7" s="311"/>
      <c r="W7" s="311"/>
      <c r="X7" s="314"/>
      <c r="AC7" s="314"/>
    </row>
    <row r="8" spans="1:32" ht="15.6">
      <c r="A8" s="391" t="s">
        <v>229</v>
      </c>
      <c r="B8" s="400" t="s">
        <v>240</v>
      </c>
      <c r="C8" s="314"/>
      <c r="D8" s="311"/>
      <c r="J8" s="314"/>
      <c r="K8" s="314"/>
      <c r="T8" s="311"/>
      <c r="U8" s="311"/>
      <c r="W8" s="311"/>
      <c r="X8" s="314"/>
      <c r="AC8" s="314"/>
    </row>
    <row r="9" spans="1:32">
      <c r="A9" s="314"/>
      <c r="C9" s="314"/>
      <c r="D9" s="311"/>
      <c r="J9" s="314"/>
      <c r="K9" s="314"/>
      <c r="T9" s="311"/>
      <c r="U9" s="311"/>
      <c r="W9" s="311"/>
      <c r="X9" s="314"/>
      <c r="AC9" s="314"/>
    </row>
    <row r="10" spans="1:32">
      <c r="A10" s="314" t="s">
        <v>111</v>
      </c>
      <c r="C10" s="314"/>
      <c r="D10" s="311"/>
      <c r="J10" s="314"/>
      <c r="K10" s="314"/>
      <c r="T10" s="311"/>
      <c r="U10" s="311"/>
      <c r="W10" s="311"/>
      <c r="X10" s="314"/>
      <c r="AC10" s="314"/>
    </row>
    <row r="11" spans="1:32">
      <c r="A11" s="314"/>
      <c r="C11" s="314"/>
      <c r="D11" s="311"/>
      <c r="J11" s="314"/>
      <c r="K11" s="314"/>
      <c r="T11" s="311"/>
      <c r="U11" s="311"/>
      <c r="W11" s="311"/>
      <c r="X11" s="314"/>
      <c r="AC11" s="314"/>
    </row>
    <row r="12" spans="1:32">
      <c r="A12" s="351" t="s">
        <v>87</v>
      </c>
      <c r="C12" s="355"/>
      <c r="D12" s="362" t="s">
        <v>30</v>
      </c>
      <c r="E12" s="322"/>
      <c r="F12" s="322"/>
      <c r="G12" s="322"/>
      <c r="H12" s="322" t="s">
        <v>50</v>
      </c>
      <c r="I12" s="323"/>
      <c r="J12" s="361"/>
      <c r="K12" s="374"/>
      <c r="L12" s="312" t="s">
        <v>41</v>
      </c>
      <c r="R12" s="313"/>
      <c r="S12" s="313"/>
      <c r="T12" s="358"/>
      <c r="U12" s="373"/>
      <c r="V12" s="312" t="s">
        <v>43</v>
      </c>
      <c r="W12" s="358"/>
      <c r="X12" s="380"/>
      <c r="Z12" s="321"/>
      <c r="AA12" s="321"/>
      <c r="AB12" s="325"/>
      <c r="AC12" s="385"/>
      <c r="AD12" s="328"/>
      <c r="AE12" s="327"/>
      <c r="AF12" s="327"/>
    </row>
    <row r="13" spans="1:32" ht="13.8">
      <c r="A13" s="386" t="s">
        <v>241</v>
      </c>
      <c r="B13" s="311"/>
      <c r="C13" s="354"/>
      <c r="D13" s="362" t="s">
        <v>224</v>
      </c>
      <c r="E13" s="322" t="s">
        <v>29</v>
      </c>
      <c r="F13" s="322" t="s">
        <v>225</v>
      </c>
      <c r="G13" s="324" t="s">
        <v>29</v>
      </c>
      <c r="H13" s="322" t="s">
        <v>31</v>
      </c>
      <c r="I13" s="322" t="s">
        <v>32</v>
      </c>
      <c r="J13" s="364" t="s">
        <v>52</v>
      </c>
      <c r="K13" s="373" t="s">
        <v>53</v>
      </c>
      <c r="L13" s="316" t="s">
        <v>58</v>
      </c>
      <c r="M13" s="316" t="s">
        <v>226</v>
      </c>
      <c r="N13" s="316" t="s">
        <v>27</v>
      </c>
      <c r="O13" s="316" t="s">
        <v>32</v>
      </c>
      <c r="P13" s="316" t="s">
        <v>225</v>
      </c>
      <c r="Q13" s="316" t="s">
        <v>27</v>
      </c>
      <c r="R13" s="313" t="s">
        <v>36</v>
      </c>
      <c r="S13" s="313" t="s">
        <v>37</v>
      </c>
      <c r="T13" s="358"/>
      <c r="U13" s="373"/>
      <c r="V13" s="313" t="s">
        <v>61</v>
      </c>
      <c r="W13" s="358" t="s">
        <v>63</v>
      </c>
      <c r="X13" s="380"/>
      <c r="Y13" s="318" t="s">
        <v>38</v>
      </c>
      <c r="Z13" s="318" t="s">
        <v>39</v>
      </c>
      <c r="AA13" s="319" t="s">
        <v>40</v>
      </c>
      <c r="AB13" s="318" t="s">
        <v>42</v>
      </c>
      <c r="AC13" s="382" t="s">
        <v>45</v>
      </c>
    </row>
    <row r="14" spans="1:32">
      <c r="B14" s="313" t="s">
        <v>24</v>
      </c>
      <c r="C14" s="354" t="s">
        <v>34</v>
      </c>
      <c r="D14" s="362" t="s">
        <v>66</v>
      </c>
      <c r="E14" s="322"/>
      <c r="F14" s="322" t="s">
        <v>86</v>
      </c>
      <c r="G14" s="324"/>
      <c r="H14" s="324" t="s">
        <v>51</v>
      </c>
      <c r="I14" s="322" t="s">
        <v>51</v>
      </c>
      <c r="J14" s="364" t="s">
        <v>33</v>
      </c>
      <c r="K14" s="373" t="s">
        <v>33</v>
      </c>
      <c r="L14" s="313" t="s">
        <v>51</v>
      </c>
      <c r="O14" s="313" t="s">
        <v>51</v>
      </c>
      <c r="R14" s="312" t="s">
        <v>55</v>
      </c>
      <c r="S14" s="312" t="s">
        <v>56</v>
      </c>
      <c r="T14" s="354"/>
      <c r="U14" s="379"/>
      <c r="V14" s="313" t="s">
        <v>62</v>
      </c>
      <c r="W14" s="358" t="s">
        <v>62</v>
      </c>
      <c r="X14" s="381"/>
      <c r="Y14" s="319"/>
      <c r="Z14" s="320" t="s">
        <v>57</v>
      </c>
      <c r="AA14" s="319"/>
      <c r="AB14" s="319"/>
      <c r="AC14" s="382"/>
    </row>
    <row r="15" spans="1:32">
      <c r="B15" s="314">
        <v>1</v>
      </c>
      <c r="C15" s="355"/>
      <c r="D15" s="360">
        <v>-0.03</v>
      </c>
      <c r="E15" s="334">
        <v>0.05</v>
      </c>
      <c r="F15" s="334">
        <v>0.89</v>
      </c>
      <c r="G15" s="322">
        <v>0.1</v>
      </c>
      <c r="H15" s="335">
        <v>3.96</v>
      </c>
      <c r="I15" s="333">
        <v>8.1</v>
      </c>
      <c r="J15" s="361">
        <v>5.38</v>
      </c>
      <c r="K15" s="375"/>
      <c r="L15" s="330">
        <f t="shared" ref="L15:L26" si="0">AA15*H15</f>
        <v>3.3789600000000002</v>
      </c>
      <c r="M15" s="316">
        <f>(D15-(Y15*'Table S-1a'!$AV$17)-('Table S-1a'!$AW$17*Z15))/AA15</f>
        <v>1.6428723630939699E-2</v>
      </c>
      <c r="N15" s="316">
        <f>$E15*(M15-'Table S-1a'!$AV$17)/($D15-'Table S-1a'!$AV$17)*(1/AA15)</f>
        <v>6.8674305307754202E-2</v>
      </c>
      <c r="O15" s="331">
        <f t="shared" ref="O15:O32" si="1">I15*AC15</f>
        <v>7.4597799999999994</v>
      </c>
      <c r="P15" s="316">
        <f>(F15-(AB15*'Table S-1a'!$AX$17))/AC15</f>
        <v>0.96638238661193765</v>
      </c>
      <c r="Q15" s="316">
        <f>$G15*(P15-'Table S-1a'!$AX$17)/($F15-'Table S-1a'!$AX$17)*(1/AC15)</f>
        <v>0.11790113838578264</v>
      </c>
      <c r="R15" s="315">
        <f>(H15/(J15*10000)*1000000)/'Table S-1a'!$AX$16</f>
        <v>6.1853737777638935</v>
      </c>
      <c r="S15" s="315">
        <f>(I15/(J15*10000)*1000000)/'Table S-1a'!$AV$16</f>
        <v>13.940520446096652</v>
      </c>
      <c r="T15" s="377">
        <f t="shared" ref="T15:T32" si="2">S15/R15</f>
        <v>2.2537878787878785</v>
      </c>
      <c r="U15" s="373"/>
      <c r="V15" s="330">
        <f t="shared" ref="V15:V32" si="3">H15/J15</f>
        <v>0.73605947955390338</v>
      </c>
      <c r="W15" s="377">
        <f t="shared" ref="W15:W32" si="4">I15/J15</f>
        <v>1.5055762081784387</v>
      </c>
      <c r="X15" s="380"/>
      <c r="Y15" s="332">
        <f>('Table S-1a'!AV$16*(J15/100))/H15</f>
        <v>0.14672727272727273</v>
      </c>
      <c r="Z15" s="332">
        <f>('Table S-1a'!AW$16*(K15/100))/H15</f>
        <v>0</v>
      </c>
      <c r="AA15" s="332">
        <f t="shared" ref="AA15:AA32" si="5">1-(Y15+Z15)</f>
        <v>0.85327272727272729</v>
      </c>
      <c r="AB15" s="332">
        <f>('Table S-1a'!AX$16*(J15/100))/I15</f>
        <v>7.9039506172839516E-2</v>
      </c>
      <c r="AC15" s="383">
        <f t="shared" ref="AC15:AC32" si="6">1-(AB15)</f>
        <v>0.9209604938271605</v>
      </c>
    </row>
    <row r="16" spans="1:32">
      <c r="B16" s="314">
        <v>2</v>
      </c>
      <c r="C16" s="355"/>
      <c r="D16" s="360">
        <v>0</v>
      </c>
      <c r="E16" s="334">
        <v>0.05</v>
      </c>
      <c r="F16" s="334">
        <v>-0.6</v>
      </c>
      <c r="G16" s="322">
        <v>0.1</v>
      </c>
      <c r="H16" s="335">
        <v>3.06</v>
      </c>
      <c r="I16" s="333">
        <v>6.5</v>
      </c>
      <c r="J16" s="365">
        <v>4.72</v>
      </c>
      <c r="K16" s="375"/>
      <c r="L16" s="330">
        <f t="shared" si="0"/>
        <v>2.5502400000000001</v>
      </c>
      <c r="M16" s="316">
        <f>(D16-(Y16*'Table S-1a'!$AV$17)-('Table S-1a'!$AW$17*Z16))/AA16</f>
        <v>5.996612083568606E-2</v>
      </c>
      <c r="N16" s="316">
        <f>$E16*(M16-'Table S-1a'!$AV$17)/($D16-'Table S-1a'!$AV$17)*(1/AA16)</f>
        <v>7.1986448971939856E-2</v>
      </c>
      <c r="O16" s="331">
        <f t="shared" si="1"/>
        <v>5.93832</v>
      </c>
      <c r="P16" s="316">
        <f>(F16-(AB16*'Table S-1a'!$AX$17))/AC16</f>
        <v>-0.6567514044376187</v>
      </c>
      <c r="Q16" s="316">
        <f>$G16*(P16-'Table S-1a'!$AX$17)/($F16-'Table S-1a'!$AX$17)*(1/AC16)</f>
        <v>0.11981177978632906</v>
      </c>
      <c r="R16" s="315">
        <f>(H16/(J16*10000)*1000000)/'Table S-1a'!$AX$16</f>
        <v>5.4479418886198552</v>
      </c>
      <c r="S16" s="315">
        <f>(I16/(J16*10000)*1000000)/'Table S-1a'!$AV$16</f>
        <v>12.751098556183301</v>
      </c>
      <c r="T16" s="377">
        <f t="shared" si="2"/>
        <v>2.3405349794238681</v>
      </c>
      <c r="U16" s="373"/>
      <c r="V16" s="330">
        <f t="shared" si="3"/>
        <v>0.64830508474576276</v>
      </c>
      <c r="W16" s="377">
        <f t="shared" si="4"/>
        <v>1.3771186440677967</v>
      </c>
      <c r="X16" s="380"/>
      <c r="Y16" s="332">
        <f>('Table S-1a'!AV$16*(J16/100))/H16</f>
        <v>0.16658823529411765</v>
      </c>
      <c r="Z16" s="332">
        <f>('Table S-1a'!AW$16*(K16/100))/H16</f>
        <v>0</v>
      </c>
      <c r="AA16" s="332">
        <f t="shared" si="5"/>
        <v>0.8334117647058823</v>
      </c>
      <c r="AB16" s="332">
        <f>('Table S-1a'!AX$16*(J16/100))/I16</f>
        <v>8.6412307692307691E-2</v>
      </c>
      <c r="AC16" s="383">
        <f t="shared" si="6"/>
        <v>0.91358769230769232</v>
      </c>
    </row>
    <row r="17" spans="2:29">
      <c r="B17" s="314">
        <v>8</v>
      </c>
      <c r="C17" s="355"/>
      <c r="D17" s="366">
        <v>0.02</v>
      </c>
      <c r="E17" s="334">
        <v>0.05</v>
      </c>
      <c r="F17" s="334">
        <v>0.61</v>
      </c>
      <c r="G17" s="322">
        <v>0.1</v>
      </c>
      <c r="H17" s="335">
        <v>3.83</v>
      </c>
      <c r="I17" s="339">
        <v>10.7</v>
      </c>
      <c r="J17" s="365">
        <v>6.43</v>
      </c>
      <c r="K17" s="375"/>
      <c r="L17" s="330">
        <f t="shared" si="0"/>
        <v>3.1355599999999999</v>
      </c>
      <c r="M17" s="316">
        <f>(D17-(Y17*'Table S-1a'!$AV$17)-('Table S-1a'!$AW$17*Z17))/AA17</f>
        <v>9.087116814859228E-2</v>
      </c>
      <c r="N17" s="316">
        <f>$E17*(M17-'Table S-1a'!$AV$17)/($D17-'Table S-1a'!$AV$17)*(1/AA17)</f>
        <v>7.4599741254807173E-2</v>
      </c>
      <c r="O17" s="331">
        <f t="shared" si="1"/>
        <v>9.9348299999999998</v>
      </c>
      <c r="P17" s="316">
        <f>(F17-(AB17*'Table S-1a'!$AX$17))/AC17</f>
        <v>0.65698154875322479</v>
      </c>
      <c r="Q17" s="316">
        <f>$G17*(P17-'Table S-1a'!$AX$17)/($F17-'Table S-1a'!$AX$17)*(1/AC17)</f>
        <v>0.11599697807099862</v>
      </c>
      <c r="R17" s="315">
        <f>(H17/(J17*10000)*1000000)/'Table S-1a'!$AX$16</f>
        <v>5.0054236313498963</v>
      </c>
      <c r="S17" s="315">
        <f>(I17/(J17*10000)*1000000)/'Table S-1a'!$AV$16</f>
        <v>15.408098611831115</v>
      </c>
      <c r="T17" s="377">
        <f t="shared" si="2"/>
        <v>3.0782806304999513</v>
      </c>
      <c r="U17" s="373"/>
      <c r="V17" s="330">
        <f t="shared" si="3"/>
        <v>0.59564541213063771</v>
      </c>
      <c r="W17" s="377">
        <f t="shared" si="4"/>
        <v>1.6640746500777606</v>
      </c>
      <c r="X17" s="374"/>
      <c r="Y17" s="332">
        <f>('Table S-1a'!AV$16*(J17/100))/H17</f>
        <v>0.1813159268929504</v>
      </c>
      <c r="Z17" s="332">
        <f>('Table S-1a'!AW$16*(K17/100))/H17</f>
        <v>0</v>
      </c>
      <c r="AA17" s="332">
        <f t="shared" si="5"/>
        <v>0.8186840731070496</v>
      </c>
      <c r="AB17" s="332">
        <f>('Table S-1a'!AX$16*(J17/100))/I17</f>
        <v>7.1511214953271035E-2</v>
      </c>
      <c r="AC17" s="383">
        <f t="shared" si="6"/>
        <v>0.92848878504672894</v>
      </c>
    </row>
    <row r="18" spans="2:29">
      <c r="B18" s="314">
        <v>9</v>
      </c>
      <c r="C18" s="355"/>
      <c r="D18" s="366">
        <v>0.06</v>
      </c>
      <c r="E18" s="334">
        <v>0.05</v>
      </c>
      <c r="F18" s="334">
        <v>0.38</v>
      </c>
      <c r="G18" s="322">
        <v>0.1</v>
      </c>
      <c r="H18" s="335">
        <v>4.55</v>
      </c>
      <c r="I18" s="339">
        <v>15.5</v>
      </c>
      <c r="J18" s="365">
        <v>6.52</v>
      </c>
      <c r="K18" s="375"/>
      <c r="L18" s="330">
        <f t="shared" si="0"/>
        <v>3.8458399999999995</v>
      </c>
      <c r="M18" s="316">
        <f>(D18-(Y18*'Table S-1a'!$AV$17)-('Table S-1a'!$AW$17*Z18))/AA18</f>
        <v>0.12591475464397894</v>
      </c>
      <c r="N18" s="316">
        <f>$E18*(M18-'Table S-1a'!$AV$17)/($D18-'Table S-1a'!$AV$17)*(1/AA18)</f>
        <v>6.9985871228179328E-2</v>
      </c>
      <c r="O18" s="331">
        <f t="shared" si="1"/>
        <v>14.724120000000001</v>
      </c>
      <c r="P18" s="316">
        <f>(F18-(AB18*'Table S-1a'!$AX$17))/AC18</f>
        <v>0.40002390635229812</v>
      </c>
      <c r="Q18" s="316">
        <f>$G18*(P18-'Table S-1a'!$AX$17)/($F18-'Table S-1a'!$AX$17)*(1/AC18)</f>
        <v>0.11081656901201674</v>
      </c>
      <c r="R18" s="315">
        <f>(H18/(J18*10000)*1000000)/'Table S-1a'!$AX$16</f>
        <v>5.8643089137495492</v>
      </c>
      <c r="S18" s="315">
        <f>(I18/(J18*10000)*1000000)/'Table S-1a'!$AV$16</f>
        <v>22.012042717564192</v>
      </c>
      <c r="T18" s="377">
        <f t="shared" si="2"/>
        <v>3.7535612535612537</v>
      </c>
      <c r="U18" s="373"/>
      <c r="V18" s="330">
        <f t="shared" si="3"/>
        <v>0.69785276073619629</v>
      </c>
      <c r="W18" s="377">
        <f t="shared" si="4"/>
        <v>2.3773006134969328</v>
      </c>
      <c r="X18" s="374"/>
      <c r="Y18" s="332">
        <f>('Table S-1a'!AV$16*(J18/100))/H18</f>
        <v>0.15476043956043956</v>
      </c>
      <c r="Z18" s="332">
        <f>('Table S-1a'!AW$16*(K18/100))/H18</f>
        <v>0</v>
      </c>
      <c r="AA18" s="332">
        <f t="shared" si="5"/>
        <v>0.84523956043956039</v>
      </c>
      <c r="AB18" s="332">
        <f>('Table S-1a'!AX$16*(J18/100))/I18</f>
        <v>5.0056774193548384E-2</v>
      </c>
      <c r="AC18" s="383">
        <f t="shared" si="6"/>
        <v>0.94994322580645163</v>
      </c>
    </row>
    <row r="19" spans="2:29">
      <c r="B19" s="314">
        <v>17</v>
      </c>
      <c r="C19" s="355"/>
      <c r="D19" s="366">
        <v>-0.02</v>
      </c>
      <c r="E19" s="334">
        <v>0.05</v>
      </c>
      <c r="F19" s="334">
        <v>0.37</v>
      </c>
      <c r="G19" s="322">
        <v>0.1</v>
      </c>
      <c r="H19" s="335">
        <v>4.33</v>
      </c>
      <c r="I19" s="339">
        <v>11.2</v>
      </c>
      <c r="J19" s="365">
        <v>5.31</v>
      </c>
      <c r="K19" s="375"/>
      <c r="L19" s="330">
        <f t="shared" si="0"/>
        <v>3.7565200000000001</v>
      </c>
      <c r="M19" s="316">
        <f>(D19-(Y19*'Table S-1a'!$AV$17)-('Table S-1a'!$AW$17*Z19))/AA19</f>
        <v>2.2745519789592491E-2</v>
      </c>
      <c r="N19" s="316">
        <f>$E19*(M19-'Table S-1a'!$AV$17)/($D19-'Table S-1a'!$AV$17)*(1/AA19)</f>
        <v>6.6431550091998887E-2</v>
      </c>
      <c r="O19" s="331">
        <f t="shared" si="1"/>
        <v>10.568109999999999</v>
      </c>
      <c r="P19" s="316">
        <f>(F19-(AB19*'Table S-1a'!$AX$17))/AC19</f>
        <v>0.39212309485802094</v>
      </c>
      <c r="Q19" s="316">
        <f>$G19*(P19-'Table S-1a'!$AX$17)/($F19-'Table S-1a'!$AX$17)*(1/AC19)</f>
        <v>0.11231593975239773</v>
      </c>
      <c r="R19" s="315">
        <f>(H19/(J19*10000)*1000000)/'Table S-1a'!$AX$16</f>
        <v>6.8524584975233038</v>
      </c>
      <c r="S19" s="315">
        <f>(I19/(J19*10000)*1000000)/'Table S-1a'!$AV$16</f>
        <v>19.529887703145707</v>
      </c>
      <c r="T19" s="377">
        <f t="shared" si="2"/>
        <v>2.8500555983234963</v>
      </c>
      <c r="U19" s="373"/>
      <c r="V19" s="330">
        <f t="shared" si="3"/>
        <v>0.81544256120527314</v>
      </c>
      <c r="W19" s="377">
        <f t="shared" si="4"/>
        <v>2.1092278719397362</v>
      </c>
      <c r="X19" s="380"/>
      <c r="Y19" s="332">
        <f>('Table S-1a'!AV$16*(J19/100))/H19</f>
        <v>0.13244341801385681</v>
      </c>
      <c r="Z19" s="332">
        <f>('Table S-1a'!AW$16*(K19/100))/H19</f>
        <v>0</v>
      </c>
      <c r="AA19" s="332">
        <f t="shared" si="5"/>
        <v>0.86755658198614316</v>
      </c>
      <c r="AB19" s="332">
        <f>('Table S-1a'!AX$16*(J19/100))/I19</f>
        <v>5.6418749999999997E-2</v>
      </c>
      <c r="AC19" s="383">
        <f t="shared" si="6"/>
        <v>0.94358125000000004</v>
      </c>
    </row>
    <row r="20" spans="2:29">
      <c r="B20" s="314">
        <v>18</v>
      </c>
      <c r="C20" s="355"/>
      <c r="D20" s="366">
        <v>0.08</v>
      </c>
      <c r="E20" s="334">
        <v>0.05</v>
      </c>
      <c r="F20" s="334">
        <v>0.41</v>
      </c>
      <c r="G20" s="322">
        <v>0.1</v>
      </c>
      <c r="H20" s="335">
        <v>4.0199999999999996</v>
      </c>
      <c r="I20" s="339">
        <v>12</v>
      </c>
      <c r="J20" s="365">
        <v>6.21</v>
      </c>
      <c r="K20" s="375"/>
      <c r="L20" s="330">
        <f t="shared" si="0"/>
        <v>3.3493199999999996</v>
      </c>
      <c r="M20" s="316">
        <f>(D20-(Y20*'Table S-1a'!$AV$17)-('Table S-1a'!$AW$17*Z20))/AA20</f>
        <v>0.15609257998638532</v>
      </c>
      <c r="N20" s="316">
        <f>$E20*(M20-'Table S-1a'!$AV$17)/($D20-'Table S-1a'!$AV$17)*(1/AA20)</f>
        <v>7.2029238752990762E-2</v>
      </c>
      <c r="O20" s="331">
        <f t="shared" si="1"/>
        <v>11.261010000000001</v>
      </c>
      <c r="P20" s="316">
        <f>(F20-(AB20*'Table S-1a'!$AX$17))/AC20</f>
        <v>0.43690574824105471</v>
      </c>
      <c r="Q20" s="316">
        <f>$G20*(P20-'Table S-1a'!$AX$17)/($F20-'Table S-1a'!$AX$17)*(1/AC20)</f>
        <v>0.11355540323978343</v>
      </c>
      <c r="R20" s="315">
        <f>(H20/(J20*10000)*1000000)/'Table S-1a'!$AX$16</f>
        <v>5.4398571022611941</v>
      </c>
      <c r="S20" s="315">
        <f>(I20/(J20*10000)*1000000)/'Table S-1a'!$AV$16</f>
        <v>17.89228842368939</v>
      </c>
      <c r="T20" s="377">
        <f t="shared" si="2"/>
        <v>3.2891100055279163</v>
      </c>
      <c r="U20" s="373"/>
      <c r="V20" s="330">
        <f t="shared" si="3"/>
        <v>0.64734299516908211</v>
      </c>
      <c r="W20" s="377">
        <f t="shared" si="4"/>
        <v>1.932367149758454</v>
      </c>
      <c r="X20" s="380"/>
      <c r="Y20" s="332">
        <f>('Table S-1a'!AV$16*(J20/100))/H20</f>
        <v>0.16683582089552243</v>
      </c>
      <c r="Z20" s="332">
        <f>('Table S-1a'!AW$16*(K20/100))/H20</f>
        <v>0</v>
      </c>
      <c r="AA20" s="332">
        <f t="shared" si="5"/>
        <v>0.8331641791044776</v>
      </c>
      <c r="AB20" s="332">
        <f>('Table S-1a'!AX$16*(J20/100))/I20</f>
        <v>6.1582500000000005E-2</v>
      </c>
      <c r="AC20" s="383">
        <f t="shared" si="6"/>
        <v>0.93841750000000002</v>
      </c>
    </row>
    <row r="21" spans="2:29">
      <c r="B21" s="314">
        <v>19</v>
      </c>
      <c r="C21" s="355"/>
      <c r="D21" s="366">
        <v>0</v>
      </c>
      <c r="E21" s="334">
        <v>0.05</v>
      </c>
      <c r="F21" s="334">
        <v>0.52</v>
      </c>
      <c r="G21" s="322">
        <v>0.1</v>
      </c>
      <c r="H21" s="335">
        <v>3.34</v>
      </c>
      <c r="I21" s="339">
        <v>12</v>
      </c>
      <c r="J21" s="365">
        <v>5.96</v>
      </c>
      <c r="K21" s="375"/>
      <c r="L21" s="330">
        <f t="shared" si="0"/>
        <v>2.6963200000000001</v>
      </c>
      <c r="M21" s="316">
        <f>(D21-(Y21*'Table S-1a'!$AV$17)-('Table S-1a'!$AW$17*Z21))/AA21</f>
        <v>7.1617612152860194E-2</v>
      </c>
      <c r="N21" s="316">
        <f>$E21*(M21-'Table S-1a'!$AV$17)/($D21-'Table S-1a'!$AV$17)*(1/AA21)</f>
        <v>7.6722027590107572E-2</v>
      </c>
      <c r="O21" s="331">
        <f t="shared" si="1"/>
        <v>11.290760000000001</v>
      </c>
      <c r="P21" s="316">
        <f>(F21-(AB21*'Table S-1a'!$AX$17))/AC21</f>
        <v>0.55266430249159493</v>
      </c>
      <c r="Q21" s="316">
        <f>$G21*(P21-'Table S-1a'!$AX$17)/($F21-'Table S-1a'!$AX$17)*(1/AC21)</f>
        <v>0.11295777782859509</v>
      </c>
      <c r="R21" s="315">
        <f>(H21/(J21*10000)*1000000)/'Table S-1a'!$AX$16</f>
        <v>4.7092662568383057</v>
      </c>
      <c r="S21" s="315">
        <f>(I21/(J21*10000)*1000000)/'Table S-1a'!$AV$16</f>
        <v>18.642803877703205</v>
      </c>
      <c r="T21" s="377">
        <f t="shared" si="2"/>
        <v>3.9587491683300065</v>
      </c>
      <c r="U21" s="373"/>
      <c r="V21" s="330">
        <f t="shared" si="3"/>
        <v>0.56040268456375841</v>
      </c>
      <c r="W21" s="377">
        <f t="shared" si="4"/>
        <v>2.0134228187919465</v>
      </c>
      <c r="X21" s="380"/>
      <c r="Y21" s="332">
        <f>('Table S-1a'!AV$16*(J21/100))/H21</f>
        <v>0.19271856287425151</v>
      </c>
      <c r="Z21" s="332">
        <f>('Table S-1a'!AW$16*(K21/100))/H21</f>
        <v>0</v>
      </c>
      <c r="AA21" s="332">
        <f t="shared" si="5"/>
        <v>0.80728143712574851</v>
      </c>
      <c r="AB21" s="332">
        <f>('Table S-1a'!AX$16*(J21/100))/I21</f>
        <v>5.9103333333333334E-2</v>
      </c>
      <c r="AC21" s="383">
        <f t="shared" si="6"/>
        <v>0.94089666666666671</v>
      </c>
    </row>
    <row r="22" spans="2:29">
      <c r="B22" s="314">
        <v>20</v>
      </c>
      <c r="C22" s="355"/>
      <c r="D22" s="366">
        <v>-0.05</v>
      </c>
      <c r="E22" s="334">
        <v>0.05</v>
      </c>
      <c r="F22" s="334">
        <v>1.06</v>
      </c>
      <c r="G22" s="322">
        <v>0.1</v>
      </c>
      <c r="H22" s="335">
        <v>2.82</v>
      </c>
      <c r="I22" s="339">
        <v>7.7</v>
      </c>
      <c r="J22" s="365">
        <v>6.04</v>
      </c>
      <c r="K22" s="375"/>
      <c r="L22" s="330">
        <f t="shared" si="0"/>
        <v>2.1676799999999994</v>
      </c>
      <c r="M22" s="316">
        <f>(D22-(Y22*'Table S-1a'!$AV$17)-('Table S-1a'!$AW$17*Z22))/AA22</f>
        <v>2.5232506643046965E-2</v>
      </c>
      <c r="N22" s="316">
        <f>$E22*(M22-'Table S-1a'!$AV$17)/($D22-'Table S-1a'!$AV$17)*(1/AA22)</f>
        <v>8.4620946701855659E-2</v>
      </c>
      <c r="O22" s="331">
        <f t="shared" si="1"/>
        <v>6.9812400000000006</v>
      </c>
      <c r="P22" s="316">
        <f>(F22-(AB22*'Table S-1a'!$AX$17))/AC22</f>
        <v>1.16913327718285</v>
      </c>
      <c r="Q22" s="316">
        <f>$G22*(P22-'Table S-1a'!$AX$17)/($F22-'Table S-1a'!$AX$17)*(1/AC22)</f>
        <v>0.12165117655894542</v>
      </c>
      <c r="R22" s="315">
        <f>(H22/(J22*10000)*1000000)/'Table S-1a'!$AX$16</f>
        <v>3.9234236741054036</v>
      </c>
      <c r="S22" s="315">
        <f>(I22/(J22*10000)*1000000)/'Table S-1a'!$AV$16</f>
        <v>11.804022565611969</v>
      </c>
      <c r="T22" s="377">
        <f t="shared" si="2"/>
        <v>3.008602574205411</v>
      </c>
      <c r="U22" s="373"/>
      <c r="V22" s="330">
        <f t="shared" si="3"/>
        <v>0.46688741721854304</v>
      </c>
      <c r="W22" s="377">
        <f t="shared" si="4"/>
        <v>1.2748344370860927</v>
      </c>
      <c r="X22" s="380"/>
      <c r="Y22" s="332">
        <f>('Table S-1a'!AV$16*(J22/100))/H22</f>
        <v>0.23131914893617028</v>
      </c>
      <c r="Z22" s="332">
        <f>('Table S-1a'!AW$16*(K22/100))/H22</f>
        <v>0</v>
      </c>
      <c r="AA22" s="332">
        <f t="shared" si="5"/>
        <v>0.76868085106382966</v>
      </c>
      <c r="AB22" s="332">
        <f>('Table S-1a'!AX$16*(J22/100))/I22</f>
        <v>9.3345454545454551E-2</v>
      </c>
      <c r="AC22" s="383">
        <f t="shared" si="6"/>
        <v>0.90665454545454549</v>
      </c>
    </row>
    <row r="23" spans="2:29">
      <c r="B23" s="314">
        <v>21</v>
      </c>
      <c r="C23" s="355"/>
      <c r="D23" s="366">
        <v>-0.18</v>
      </c>
      <c r="E23" s="334">
        <v>0.05</v>
      </c>
      <c r="F23" s="334">
        <v>0.53</v>
      </c>
      <c r="G23" s="322">
        <v>0.1</v>
      </c>
      <c r="H23" s="335">
        <v>3</v>
      </c>
      <c r="I23" s="339">
        <v>4.0999999999999996</v>
      </c>
      <c r="J23" s="365">
        <v>5.68</v>
      </c>
      <c r="K23" s="375"/>
      <c r="L23" s="330">
        <f t="shared" si="0"/>
        <v>2.3865600000000002</v>
      </c>
      <c r="M23" s="316">
        <f>(D23-(Y23*'Table S-1a'!$AV$17)-('Table S-1a'!$AW$17*Z23))/AA23</f>
        <v>-0.14915526950925181</v>
      </c>
      <c r="N23" s="316">
        <f>$E23*(M23-'Table S-1a'!$AV$17)/($D23-'Table S-1a'!$AV$17)*(1/AA23)</f>
        <v>7.9007405266758535E-2</v>
      </c>
      <c r="O23" s="331">
        <f t="shared" si="1"/>
        <v>3.4240799999999996</v>
      </c>
      <c r="P23" s="316">
        <f>(F23-(AB23*'Table S-1a'!$AX$17))/AC23</f>
        <v>0.63462302282656946</v>
      </c>
      <c r="Q23" s="316">
        <f>$G23*(P23-'Table S-1a'!$AX$17)/($F23-'Table S-1a'!$AX$17)*(1/AC23)</f>
        <v>0.14337713816359293</v>
      </c>
      <c r="R23" s="315">
        <f>(H23/(J23*10000)*1000000)/'Table S-1a'!$AX$16</f>
        <v>4.4383950763403952</v>
      </c>
      <c r="S23" s="315">
        <f>(I23/(J23*10000)*1000000)/'Table S-1a'!$AV$16</f>
        <v>6.6836202399582678</v>
      </c>
      <c r="T23" s="377">
        <f t="shared" si="2"/>
        <v>1.5058641975308642</v>
      </c>
      <c r="U23" s="373"/>
      <c r="V23" s="330">
        <f t="shared" si="3"/>
        <v>0.52816901408450712</v>
      </c>
      <c r="W23" s="377">
        <f t="shared" si="4"/>
        <v>0.72183098591549288</v>
      </c>
      <c r="X23" s="380"/>
      <c r="Y23" s="332">
        <f>('Table S-1a'!AV$16*(J23/100))/H23</f>
        <v>0.20448</v>
      </c>
      <c r="Z23" s="332">
        <f>('Table S-1a'!AW$16*(K23/100))/H23</f>
        <v>0</v>
      </c>
      <c r="AA23" s="332">
        <f t="shared" si="5"/>
        <v>0.79552</v>
      </c>
      <c r="AB23" s="332">
        <f>('Table S-1a'!AX$16*(J23/100))/I23</f>
        <v>0.16485853658536587</v>
      </c>
      <c r="AC23" s="383">
        <f t="shared" si="6"/>
        <v>0.83514146341463413</v>
      </c>
    </row>
    <row r="24" spans="2:29">
      <c r="B24" s="314">
        <v>22</v>
      </c>
      <c r="C24" s="355"/>
      <c r="D24" s="366">
        <v>-0.09</v>
      </c>
      <c r="E24" s="334">
        <v>0.05</v>
      </c>
      <c r="F24" s="334">
        <v>0.32</v>
      </c>
      <c r="G24" s="322">
        <v>0.1</v>
      </c>
      <c r="H24" s="335">
        <v>1.1299999999999999</v>
      </c>
      <c r="I24" s="339">
        <v>7.2</v>
      </c>
      <c r="J24" s="365">
        <v>2.41</v>
      </c>
      <c r="K24" s="375"/>
      <c r="L24" s="330">
        <f t="shared" si="0"/>
        <v>0.86971999999999983</v>
      </c>
      <c r="M24" s="316">
        <f>(D24-(Y24*'Table S-1a'!$AV$17)-('Table S-1a'!$AW$17*Z24))/AA24</f>
        <v>-2.7153566665133601E-2</v>
      </c>
      <c r="N24" s="316">
        <f>$E24*(M24-'Table S-1a'!$AV$17)/($D24-'Table S-1a'!$AV$17)*(1/AA24)</f>
        <v>8.4404961659362482E-2</v>
      </c>
      <c r="O24" s="331">
        <f t="shared" si="1"/>
        <v>6.9132099999999994</v>
      </c>
      <c r="P24" s="316">
        <f>(F24-(AB24*'Table S-1a'!$AX$17))/AC24</f>
        <v>0.33327499092317464</v>
      </c>
      <c r="Q24" s="316">
        <f>$G24*(P24-'Table S-1a'!$AX$17)/($F24-'Table S-1a'!$AX$17)*(1/AC24)</f>
        <v>0.10846896442855675</v>
      </c>
      <c r="R24" s="315">
        <f>(H24/(J24*10000)*1000000)/'Table S-1a'!$AX$16</f>
        <v>3.9401652777293488</v>
      </c>
      <c r="S24" s="315">
        <f>(I24/(J24*10000)*1000000)/'Table S-1a'!$AV$16</f>
        <v>27.662517289073307</v>
      </c>
      <c r="T24" s="377">
        <f t="shared" si="2"/>
        <v>7.0206489675516233</v>
      </c>
      <c r="U24" s="373"/>
      <c r="V24" s="330">
        <f t="shared" si="3"/>
        <v>0.46887966804979248</v>
      </c>
      <c r="W24" s="377">
        <f t="shared" si="4"/>
        <v>2.9875518672199171</v>
      </c>
      <c r="X24" s="380"/>
      <c r="Y24" s="332">
        <f>('Table S-1a'!AV$16*(J24/100))/H24</f>
        <v>0.23033628318584073</v>
      </c>
      <c r="Z24" s="332">
        <f>('Table S-1a'!AW$16*(K24/100))/H24</f>
        <v>0</v>
      </c>
      <c r="AA24" s="332">
        <f t="shared" si="5"/>
        <v>0.76966371681415924</v>
      </c>
      <c r="AB24" s="332">
        <f>('Table S-1a'!AX$16*(J24/100))/I24</f>
        <v>3.9831944444444441E-2</v>
      </c>
      <c r="AC24" s="383">
        <f t="shared" si="6"/>
        <v>0.96016805555555551</v>
      </c>
    </row>
    <row r="25" spans="2:29">
      <c r="B25" s="314">
        <v>23</v>
      </c>
      <c r="C25" s="355"/>
      <c r="D25" s="366">
        <v>0.19</v>
      </c>
      <c r="E25" s="334">
        <v>0.05</v>
      </c>
      <c r="F25" s="334">
        <v>0.24</v>
      </c>
      <c r="G25" s="322">
        <v>0.1</v>
      </c>
      <c r="H25" s="335">
        <v>3.88</v>
      </c>
      <c r="I25" s="339">
        <v>15.2</v>
      </c>
      <c r="J25" s="365">
        <v>5.83</v>
      </c>
      <c r="K25" s="375"/>
      <c r="L25" s="330">
        <f t="shared" si="0"/>
        <v>3.2503600000000001</v>
      </c>
      <c r="M25" s="316">
        <f>(D25-(Y25*'Table S-1a'!$AV$17)-('Table S-1a'!$AW$17*Z25))/AA25</f>
        <v>0.28491982426561979</v>
      </c>
      <c r="N25" s="316">
        <f>$E25*(M25-'Table S-1a'!$AV$17)/($D25-'Table S-1a'!$AV$17)*(1/AA25)</f>
        <v>7.1247646984365587E-2</v>
      </c>
      <c r="O25" s="331">
        <f t="shared" si="1"/>
        <v>14.506229999999999</v>
      </c>
      <c r="P25" s="316">
        <f>(F25-(AB25*'Table S-1a'!$AX$17))/AC25</f>
        <v>0.25147815800521567</v>
      </c>
      <c r="Q25" s="316">
        <f>$G25*(P25-'Table S-1a'!$AX$17)/($F25-'Table S-1a'!$AX$17)*(1/AC25)</f>
        <v>0.10979386103072263</v>
      </c>
      <c r="R25" s="315">
        <f>(H25/(J25*10000)*1000000)/'Table S-1a'!$AX$16</f>
        <v>5.5926315637747379</v>
      </c>
      <c r="S25" s="315">
        <f>(I25/(J25*10000)*1000000)/'Table S-1a'!$AV$16</f>
        <v>24.14077885775999</v>
      </c>
      <c r="T25" s="377">
        <f t="shared" si="2"/>
        <v>4.3165330278732341</v>
      </c>
      <c r="U25" s="373"/>
      <c r="V25" s="330">
        <f t="shared" si="3"/>
        <v>0.66552315608919377</v>
      </c>
      <c r="W25" s="377">
        <f t="shared" si="4"/>
        <v>2.6072041166380786</v>
      </c>
      <c r="X25" s="380"/>
      <c r="Y25" s="332">
        <f>('Table S-1a'!AV$16*(J25/100))/H25</f>
        <v>0.16227835051546391</v>
      </c>
      <c r="Z25" s="332">
        <f>('Table S-1a'!AW$16*(K25/100))/H25</f>
        <v>0</v>
      </c>
      <c r="AA25" s="332">
        <f t="shared" si="5"/>
        <v>0.83772164948453609</v>
      </c>
      <c r="AB25" s="332">
        <f>('Table S-1a'!AX$16*(J25/100))/I25</f>
        <v>4.5642763157894742E-2</v>
      </c>
      <c r="AC25" s="383">
        <f t="shared" si="6"/>
        <v>0.95435723684210527</v>
      </c>
    </row>
    <row r="26" spans="2:29">
      <c r="B26" s="314">
        <v>24</v>
      </c>
      <c r="C26" s="355"/>
      <c r="D26" s="366">
        <v>0.22</v>
      </c>
      <c r="E26" s="334">
        <v>0.05</v>
      </c>
      <c r="F26" s="334">
        <v>0.23</v>
      </c>
      <c r="G26" s="322">
        <v>0.1</v>
      </c>
      <c r="H26" s="335">
        <v>3.83</v>
      </c>
      <c r="I26" s="339">
        <v>12.3</v>
      </c>
      <c r="J26" s="365">
        <v>5.65</v>
      </c>
      <c r="K26" s="375"/>
      <c r="L26" s="330">
        <f t="shared" si="0"/>
        <v>3.2197999999999998</v>
      </c>
      <c r="M26" s="316">
        <f>(D26-(Y26*'Table S-1a'!$AV$17)-('Table S-1a'!$AW$17*Z26))/AA26</f>
        <v>0.31854773588421642</v>
      </c>
      <c r="N26" s="316">
        <f>$E26*(M26-'Table S-1a'!$AV$17)/($D26-'Table S-1a'!$AV$17)*(1/AA26)</f>
        <v>7.0747282094580324E-2</v>
      </c>
      <c r="O26" s="331">
        <f t="shared" si="1"/>
        <v>11.627650000000001</v>
      </c>
      <c r="P26" s="316">
        <f>(F26-(AB26*'Table S-1a'!$AX$17))/AC26</f>
        <v>0.24329937691622985</v>
      </c>
      <c r="Q26" s="316">
        <f>$G26*(P26-'Table S-1a'!$AX$17)/($F26-'Table S-1a'!$AX$17)*(1/AC26)</f>
        <v>0.11189902988246821</v>
      </c>
      <c r="R26" s="315">
        <f>(H26/(J26*10000)*1000000)/'Table S-1a'!$AX$16</f>
        <v>5.6964378671822713</v>
      </c>
      <c r="S26" s="315">
        <f>(I26/(J26*10000)*1000000)/'Table S-1a'!$AV$16</f>
        <v>20.15732546705998</v>
      </c>
      <c r="T26" s="377">
        <f t="shared" si="2"/>
        <v>3.5385842761821871</v>
      </c>
      <c r="U26" s="373"/>
      <c r="V26" s="330">
        <f t="shared" si="3"/>
        <v>0.67787610619469019</v>
      </c>
      <c r="W26" s="377">
        <f t="shared" si="4"/>
        <v>2.1769911504424777</v>
      </c>
      <c r="X26" s="380"/>
      <c r="Y26" s="332">
        <f>('Table S-1a'!AV$16*(J26/100))/H26</f>
        <v>0.15932114882506529</v>
      </c>
      <c r="Z26" s="332">
        <f>('Table S-1a'!AW$16*(K26/100))/H26</f>
        <v>0</v>
      </c>
      <c r="AA26" s="332">
        <f t="shared" si="5"/>
        <v>0.84067885117493468</v>
      </c>
      <c r="AB26" s="332">
        <f>('Table S-1a'!AX$16*(J26/100))/I26</f>
        <v>5.4662601626016258E-2</v>
      </c>
      <c r="AC26" s="383">
        <f t="shared" si="6"/>
        <v>0.94533739837398378</v>
      </c>
    </row>
    <row r="27" spans="2:29">
      <c r="B27" s="314">
        <v>25</v>
      </c>
      <c r="C27" s="355"/>
      <c r="D27" s="366">
        <v>0.06</v>
      </c>
      <c r="E27" s="334">
        <v>0.05</v>
      </c>
      <c r="F27" s="334">
        <v>0.76</v>
      </c>
      <c r="G27" s="322">
        <v>0.1</v>
      </c>
      <c r="H27" s="335">
        <v>1.27</v>
      </c>
      <c r="I27" s="339">
        <v>4.0999999999999996</v>
      </c>
      <c r="J27" s="365">
        <v>6.13</v>
      </c>
      <c r="K27" s="375"/>
      <c r="L27" s="330"/>
      <c r="M27" s="316"/>
      <c r="N27" s="316"/>
      <c r="O27" s="331">
        <f t="shared" si="1"/>
        <v>3.3705299999999996</v>
      </c>
      <c r="P27" s="316">
        <f>(F27-(AB27*'Table S-1a'!$AX$17))/AC27</f>
        <v>0.92448368654187929</v>
      </c>
      <c r="Q27" s="316">
        <f>$G27*(P27-'Table S-1a'!$AX$17)/($F27-'Table S-1a'!$AX$17)*(1/AC27)</f>
        <v>0.14796919783276724</v>
      </c>
      <c r="R27" s="315">
        <f>(H27/(J27*10000)*1000000)/'Table S-1a'!$AX$16</f>
        <v>1.7409900338602</v>
      </c>
      <c r="S27" s="315">
        <f>(I27/(J27*10000)*1000000)/'Table S-1a'!$AV$16</f>
        <v>6.192979276176664</v>
      </c>
      <c r="T27" s="377">
        <f t="shared" si="2"/>
        <v>3.5571595217264496</v>
      </c>
      <c r="U27" s="373"/>
      <c r="V27" s="330">
        <f t="shared" si="3"/>
        <v>0.2071778140293638</v>
      </c>
      <c r="W27" s="377">
        <f t="shared" si="4"/>
        <v>0.66884176182707988</v>
      </c>
      <c r="X27" s="380"/>
      <c r="Y27" s="332">
        <f>('Table S-1a'!AV$16*(J27/100))/H27</f>
        <v>0.52129133858267718</v>
      </c>
      <c r="Z27" s="332">
        <f>('Table S-1a'!AW$16*(K27/100))/H27</f>
        <v>0</v>
      </c>
      <c r="AA27" s="332">
        <f t="shared" si="5"/>
        <v>0.47870866141732282</v>
      </c>
      <c r="AB27" s="332">
        <f>('Table S-1a'!AX$16*(J27/100))/I27</f>
        <v>0.17791951219512198</v>
      </c>
      <c r="AC27" s="383">
        <f t="shared" si="6"/>
        <v>0.82208048780487797</v>
      </c>
    </row>
    <row r="28" spans="2:29">
      <c r="B28" s="314">
        <v>26</v>
      </c>
      <c r="C28" s="355"/>
      <c r="D28" s="366">
        <v>0.1</v>
      </c>
      <c r="E28" s="334">
        <v>0.05</v>
      </c>
      <c r="F28" s="334">
        <v>0.71</v>
      </c>
      <c r="G28" s="322">
        <v>0.1</v>
      </c>
      <c r="H28" s="335">
        <v>1.73</v>
      </c>
      <c r="I28" s="339">
        <v>5.2</v>
      </c>
      <c r="J28" s="365">
        <v>3.07</v>
      </c>
      <c r="K28" s="375"/>
      <c r="L28" s="330">
        <f>AA28*H28</f>
        <v>1.3984400000000001</v>
      </c>
      <c r="M28" s="316">
        <f>(D28-(Y28*'Table S-1a'!$AV$17)-('Table S-1a'!$AW$17*Z28))/AA28</f>
        <v>0.1948371042018249</v>
      </c>
      <c r="N28" s="316">
        <f>$E28*(M28-'Table S-1a'!$AV$17)/($D28-'Table S-1a'!$AV$17)*(1/AA28)</f>
        <v>7.6519924904639922E-2</v>
      </c>
      <c r="O28" s="331">
        <f t="shared" si="1"/>
        <v>4.83467</v>
      </c>
      <c r="P28" s="316">
        <f>(F28-(AB28*'Table S-1a'!$AX$17))/AC28</f>
        <v>0.76365087999801429</v>
      </c>
      <c r="Q28" s="316">
        <f>$G28*(P28-'Table S-1a'!$AX$17)/($F28-'Table S-1a'!$AX$17)*(1/AC28)</f>
        <v>0.11568392511837763</v>
      </c>
      <c r="R28" s="315">
        <f>(H28/(J28*10000)*1000000)/'Table S-1a'!$AX$16</f>
        <v>4.7354446664659342</v>
      </c>
      <c r="S28" s="315">
        <f>(I28/(J28*10000)*1000000)/'Table S-1a'!$AV$16</f>
        <v>15.683435878875617</v>
      </c>
      <c r="T28" s="377">
        <f t="shared" si="2"/>
        <v>3.3119246414044103</v>
      </c>
      <c r="U28" s="373"/>
      <c r="V28" s="330">
        <f t="shared" si="3"/>
        <v>0.56351791530944628</v>
      </c>
      <c r="W28" s="377">
        <f t="shared" si="4"/>
        <v>1.6938110749185669</v>
      </c>
      <c r="X28" s="380"/>
      <c r="Y28" s="332">
        <f>('Table S-1a'!AV$16*(J28/100))/H28</f>
        <v>0.19165317919075145</v>
      </c>
      <c r="Z28" s="332">
        <f>('Table S-1a'!AW$16*(K28/100))/H28</f>
        <v>0</v>
      </c>
      <c r="AA28" s="332">
        <f t="shared" si="5"/>
        <v>0.80834682080924858</v>
      </c>
      <c r="AB28" s="332">
        <f>('Table S-1a'!AX$16*(J28/100))/I28</f>
        <v>7.0255769230769233E-2</v>
      </c>
      <c r="AC28" s="383">
        <f t="shared" si="6"/>
        <v>0.92974423076923074</v>
      </c>
    </row>
    <row r="29" spans="2:29">
      <c r="B29" s="314">
        <v>27</v>
      </c>
      <c r="C29" s="355"/>
      <c r="D29" s="366">
        <v>-0.05</v>
      </c>
      <c r="E29" s="334">
        <v>0.05</v>
      </c>
      <c r="F29" s="334">
        <v>0.53</v>
      </c>
      <c r="G29" s="322">
        <v>0.1</v>
      </c>
      <c r="H29" s="335">
        <v>2.2200000000000002</v>
      </c>
      <c r="I29" s="339">
        <v>7.1</v>
      </c>
      <c r="J29" s="365">
        <v>8.02</v>
      </c>
      <c r="K29" s="375"/>
      <c r="L29" s="330"/>
      <c r="M29" s="316"/>
      <c r="N29" s="316"/>
      <c r="O29" s="331">
        <f t="shared" si="1"/>
        <v>6.1456199999999992</v>
      </c>
      <c r="P29" s="316">
        <f>(F29-(AB29*'Table S-1a'!$AX$17))/AC29</f>
        <v>0.61230600004556102</v>
      </c>
      <c r="Q29" s="316">
        <f>$G29*(P29-'Table S-1a'!$AX$17)/($F29-'Table S-1a'!$AX$17)*(1/AC29)</f>
        <v>0.13347050113627429</v>
      </c>
      <c r="R29" s="315">
        <f>(H29/(J29*10000)*1000000)/'Table S-1a'!$AX$16</f>
        <v>2.3261174794107169</v>
      </c>
      <c r="S29" s="315">
        <f>(I29/(J29*10000)*1000000)/'Table S-1a'!$AV$16</f>
        <v>8.1970998429851303</v>
      </c>
      <c r="T29" s="377">
        <f t="shared" si="2"/>
        <v>3.523940607273941</v>
      </c>
      <c r="U29" s="373"/>
      <c r="V29" s="330">
        <f t="shared" si="3"/>
        <v>0.27680798004987534</v>
      </c>
      <c r="W29" s="377">
        <f t="shared" si="4"/>
        <v>0.88528678304239405</v>
      </c>
      <c r="X29" s="380"/>
      <c r="Y29" s="332">
        <f>('Table S-1a'!AV$16*(J29/100))/H29</f>
        <v>0.39016216216216215</v>
      </c>
      <c r="Z29" s="332">
        <f>('Table S-1a'!AW$16*(K29/100))/H29</f>
        <v>0</v>
      </c>
      <c r="AA29" s="332">
        <f t="shared" si="5"/>
        <v>0.60983783783783785</v>
      </c>
      <c r="AB29" s="332">
        <f>('Table S-1a'!AX$16*(J29/100))/I29</f>
        <v>0.13441971830985916</v>
      </c>
      <c r="AC29" s="383">
        <f t="shared" si="6"/>
        <v>0.86558028169014078</v>
      </c>
    </row>
    <row r="30" spans="2:29">
      <c r="B30" s="314">
        <v>28</v>
      </c>
      <c r="C30" s="355"/>
      <c r="D30" s="366">
        <v>-0.12</v>
      </c>
      <c r="E30" s="334">
        <v>0.05</v>
      </c>
      <c r="F30" s="334">
        <v>0.71</v>
      </c>
      <c r="G30" s="322">
        <v>0.1</v>
      </c>
      <c r="H30" s="335">
        <v>0.75</v>
      </c>
      <c r="I30" s="339">
        <v>2</v>
      </c>
      <c r="J30" s="365">
        <v>1.46</v>
      </c>
      <c r="K30" s="375"/>
      <c r="L30" s="330">
        <f>AA30*H30</f>
        <v>0.59231999999999996</v>
      </c>
      <c r="M30" s="316">
        <f>(D30-(Y30*'Table S-1a'!$AV$17)-('Table S-1a'!$AW$17*Z30))/AA30</f>
        <v>-7.2082658022690427E-2</v>
      </c>
      <c r="N30" s="316">
        <f>$E30*(M30-'Table S-1a'!$AV$17)/($D30-'Table S-1a'!$AV$17)*(1/AA30)</f>
        <v>8.0164066009262167E-2</v>
      </c>
      <c r="O30" s="331">
        <f t="shared" si="1"/>
        <v>1.82626</v>
      </c>
      <c r="P30" s="316">
        <f>(F30-(AB30*'Table S-1a'!$AX$17))/AC30</f>
        <v>0.77754536593913237</v>
      </c>
      <c r="Q30" s="316">
        <f>$G30*(P30-'Table S-1a'!$AX$17)/($F30-'Table S-1a'!$AX$17)*(1/AC30)</f>
        <v>0.11993191749522306</v>
      </c>
      <c r="R30" s="315">
        <f>(H30/(J30*10000)*1000000)/'Table S-1a'!$AX$16</f>
        <v>4.3167952112351795</v>
      </c>
      <c r="S30" s="315">
        <f>(I30/(J30*10000)*1000000)/'Table S-1a'!$AV$16</f>
        <v>12.683916793505833</v>
      </c>
      <c r="T30" s="377">
        <f t="shared" si="2"/>
        <v>2.9382716049382709</v>
      </c>
      <c r="U30" s="373"/>
      <c r="V30" s="330">
        <f t="shared" si="3"/>
        <v>0.51369863013698636</v>
      </c>
      <c r="W30" s="377">
        <f t="shared" si="4"/>
        <v>1.3698630136986301</v>
      </c>
      <c r="X30" s="380"/>
      <c r="Y30" s="332">
        <f>('Table S-1a'!AV$16*(J30/100))/H30</f>
        <v>0.21024000000000001</v>
      </c>
      <c r="Z30" s="332">
        <f>('Table S-1a'!AW$16*(K30/100))/H30</f>
        <v>0</v>
      </c>
      <c r="AA30" s="332">
        <f t="shared" si="5"/>
        <v>0.78976000000000002</v>
      </c>
      <c r="AB30" s="332">
        <f>('Table S-1a'!AX$16*(J30/100))/I30</f>
        <v>8.6870000000000003E-2</v>
      </c>
      <c r="AC30" s="383">
        <f t="shared" si="6"/>
        <v>0.91313</v>
      </c>
    </row>
    <row r="31" spans="2:29">
      <c r="B31" s="314">
        <v>29</v>
      </c>
      <c r="C31" s="355"/>
      <c r="D31" s="366">
        <v>0.08</v>
      </c>
      <c r="E31" s="334">
        <v>0.05</v>
      </c>
      <c r="F31" s="334">
        <v>0.49</v>
      </c>
      <c r="G31" s="322">
        <v>0.1</v>
      </c>
      <c r="H31" s="335">
        <v>4.72</v>
      </c>
      <c r="I31" s="339">
        <v>10.3</v>
      </c>
      <c r="J31" s="365">
        <v>7.65</v>
      </c>
      <c r="K31" s="375"/>
      <c r="L31" s="330">
        <f>AA31*H31</f>
        <v>3.8937999999999997</v>
      </c>
      <c r="M31" s="316">
        <f>(D31-(Y31*'Table S-1a'!$AV$17)-('Table S-1a'!$AW$17*Z31))/AA31</f>
        <v>0.16062971904052595</v>
      </c>
      <c r="N31" s="316">
        <f>$E31*(M31-'Table S-1a'!$AV$17)/($D31-'Table S-1a'!$AV$17)*(1/AA31)</f>
        <v>7.3469438387587918E-2</v>
      </c>
      <c r="O31" s="331">
        <f t="shared" si="1"/>
        <v>9.3896500000000014</v>
      </c>
      <c r="P31" s="316">
        <f>(F31-(AB31*'Table S-1a'!$AX$17))/AC31</f>
        <v>0.53750672282779444</v>
      </c>
      <c r="Q31" s="316">
        <f>$G31*(P31-'Table S-1a'!$AX$17)/($F31-'Table S-1a'!$AX$17)*(1/AC31)</f>
        <v>0.12033047775305099</v>
      </c>
      <c r="R31" s="315">
        <f>(H31/(J31*10000)*1000000)/'Table S-1a'!$AX$16</f>
        <v>5.1848190256494746</v>
      </c>
      <c r="S31" s="315">
        <f>(I31/(J31*10000)*1000000)/'Table S-1a'!$AV$16</f>
        <v>12.466715081094165</v>
      </c>
      <c r="T31" s="377">
        <f t="shared" si="2"/>
        <v>2.4044648462021345</v>
      </c>
      <c r="U31" s="373"/>
      <c r="V31" s="330">
        <f t="shared" si="3"/>
        <v>0.6169934640522875</v>
      </c>
      <c r="W31" s="377">
        <f t="shared" si="4"/>
        <v>1.34640522875817</v>
      </c>
      <c r="X31" s="380"/>
      <c r="Y31" s="332">
        <f>('Table S-1a'!AV$16*(J31/100))/H31</f>
        <v>0.17504237288135596</v>
      </c>
      <c r="Z31" s="332">
        <f>('Table S-1a'!AW$16*(K31/100))/H31</f>
        <v>0</v>
      </c>
      <c r="AA31" s="332">
        <f t="shared" si="5"/>
        <v>0.82495762711864407</v>
      </c>
      <c r="AB31" s="332">
        <f>('Table S-1a'!AX$16*(J31/100))/I31</f>
        <v>8.8383495145631055E-2</v>
      </c>
      <c r="AC31" s="383">
        <f t="shared" si="6"/>
        <v>0.91161650485436896</v>
      </c>
    </row>
    <row r="32" spans="2:29">
      <c r="B32" s="314">
        <v>30</v>
      </c>
      <c r="C32" s="355"/>
      <c r="D32" s="366">
        <v>-0.01</v>
      </c>
      <c r="E32" s="334">
        <v>0.05</v>
      </c>
      <c r="F32" s="334">
        <v>0.41</v>
      </c>
      <c r="G32" s="322">
        <v>0.1</v>
      </c>
      <c r="H32" s="335">
        <v>3.98</v>
      </c>
      <c r="I32" s="339">
        <v>5.0999999999999996</v>
      </c>
      <c r="J32" s="365">
        <v>8.48</v>
      </c>
      <c r="K32" s="375"/>
      <c r="L32" s="330">
        <f>AA32*H32</f>
        <v>3.0641600000000002</v>
      </c>
      <c r="M32" s="316">
        <f>(D32-(Y32*'Table S-1a'!$AV$17)-('Table S-1a'!$AW$17*Z32))/AA32</f>
        <v>7.6677458096182968E-2</v>
      </c>
      <c r="N32" s="316">
        <f>$E32*(M32-'Table S-1a'!$AV$17)/($D32-'Table S-1a'!$AV$17)*(1/AA32)</f>
        <v>8.4355474100952246E-2</v>
      </c>
      <c r="O32" s="331">
        <f t="shared" si="1"/>
        <v>4.0908800000000003</v>
      </c>
      <c r="P32" s="316">
        <f>(F32-(AB32*'Table S-1a'!$AX$17))/AC32</f>
        <v>0.51113696808510634</v>
      </c>
      <c r="Q32" s="316">
        <f>$G32*(P32-'Table S-1a'!$AX$17)/($F32-'Table S-1a'!$AX$17)*(1/AC32)</f>
        <v>0.15541998818752828</v>
      </c>
      <c r="R32" s="315">
        <f>(H32/(J32*10000)*1000000)/'Table S-1a'!$AX$16</f>
        <v>3.9440304423656252</v>
      </c>
      <c r="S32" s="315">
        <f>(I32/(J32*10000)*1000000)/'Table S-1a'!$AV$16</f>
        <v>5.5686582809224303</v>
      </c>
      <c r="T32" s="377">
        <f t="shared" si="2"/>
        <v>1.4119207146845334</v>
      </c>
      <c r="U32" s="373"/>
      <c r="V32" s="330">
        <f t="shared" si="3"/>
        <v>0.46933962264150941</v>
      </c>
      <c r="W32" s="377">
        <f t="shared" si="4"/>
        <v>0.60141509433962259</v>
      </c>
      <c r="X32" s="380"/>
      <c r="Y32" s="332">
        <f>('Table S-1a'!AV$16*(J32/100))/H32</f>
        <v>0.23011055276381912</v>
      </c>
      <c r="Z32" s="332">
        <f>('Table S-1a'!AW$16*(K32/100))/H32</f>
        <v>0</v>
      </c>
      <c r="AA32" s="332">
        <f t="shared" si="5"/>
        <v>0.76988944723618091</v>
      </c>
      <c r="AB32" s="332">
        <f>('Table S-1a'!AX$16*(J32/100))/I32</f>
        <v>0.19786666666666669</v>
      </c>
      <c r="AC32" s="383">
        <f t="shared" si="6"/>
        <v>0.80213333333333336</v>
      </c>
    </row>
    <row r="33" spans="2:29">
      <c r="B33" s="314">
        <v>31</v>
      </c>
      <c r="C33" s="355"/>
      <c r="D33" s="366">
        <v>-0.33</v>
      </c>
      <c r="E33" s="334">
        <v>0.05</v>
      </c>
      <c r="F33" s="334">
        <v>0.17</v>
      </c>
      <c r="G33" s="322">
        <v>0.1</v>
      </c>
      <c r="H33" s="335">
        <v>0.45</v>
      </c>
      <c r="I33" s="339"/>
      <c r="J33" s="365">
        <v>2.41</v>
      </c>
      <c r="K33" s="375"/>
      <c r="L33" s="330"/>
      <c r="M33" s="316"/>
      <c r="N33" s="316"/>
      <c r="O33" s="331"/>
      <c r="P33" s="316"/>
      <c r="Q33" s="316"/>
      <c r="R33" s="315"/>
      <c r="S33" s="315"/>
      <c r="T33" s="377"/>
      <c r="U33" s="373"/>
      <c r="V33" s="330"/>
      <c r="W33" s="377"/>
      <c r="X33" s="380"/>
      <c r="Y33" s="332"/>
      <c r="Z33" s="332"/>
      <c r="AA33" s="332"/>
      <c r="AB33" s="332"/>
      <c r="AC33" s="383"/>
    </row>
    <row r="34" spans="2:29">
      <c r="B34" s="314">
        <v>32</v>
      </c>
      <c r="C34" s="355"/>
      <c r="D34" s="366">
        <v>-0.33</v>
      </c>
      <c r="E34" s="334">
        <v>0.05</v>
      </c>
      <c r="F34" s="334">
        <v>0.12</v>
      </c>
      <c r="G34" s="322">
        <v>0.1</v>
      </c>
      <c r="H34" s="335">
        <v>0.65</v>
      </c>
      <c r="I34" s="339"/>
      <c r="J34" s="365">
        <v>1.97</v>
      </c>
      <c r="K34" s="375"/>
      <c r="L34" s="330"/>
      <c r="M34" s="316"/>
      <c r="N34" s="316"/>
      <c r="O34" s="331"/>
      <c r="P34" s="316"/>
      <c r="Q34" s="316"/>
      <c r="R34" s="315"/>
      <c r="S34" s="315"/>
      <c r="T34" s="377"/>
      <c r="U34" s="373"/>
      <c r="V34" s="330"/>
      <c r="W34" s="377"/>
      <c r="X34" s="380"/>
      <c r="Y34" s="332"/>
      <c r="Z34" s="332"/>
      <c r="AA34" s="332"/>
      <c r="AB34" s="332"/>
      <c r="AC34" s="383"/>
    </row>
    <row r="35" spans="2:29">
      <c r="B35" s="314">
        <v>33</v>
      </c>
      <c r="C35" s="355"/>
      <c r="D35" s="366">
        <v>-0.33</v>
      </c>
      <c r="E35" s="334">
        <v>0.05</v>
      </c>
      <c r="F35" s="334">
        <v>0.6</v>
      </c>
      <c r="G35" s="322">
        <v>0.1</v>
      </c>
      <c r="H35" s="335">
        <v>1.71</v>
      </c>
      <c r="I35" s="339">
        <v>1.7</v>
      </c>
      <c r="J35" s="365">
        <v>3.83</v>
      </c>
      <c r="K35" s="375"/>
      <c r="L35" s="330">
        <f t="shared" ref="L35:L57" si="7">AA35*H35</f>
        <v>1.29636</v>
      </c>
      <c r="M35" s="316">
        <f>(D35-(Y35*'Table S-1a'!$AV$17)-('Table S-1a'!$AW$17*Z35))/AA35</f>
        <v>-0.33957234101638439</v>
      </c>
      <c r="N35" s="316">
        <f>$E35*(M35-'Table S-1a'!$AV$17)/($D35-'Table S-1a'!$AV$17)*(1/AA35)</f>
        <v>8.6998342973167511E-2</v>
      </c>
      <c r="O35" s="331">
        <f t="shared" ref="O35:O57" si="8">I35*AC35</f>
        <v>1.2442299999999999</v>
      </c>
      <c r="P35" s="316">
        <f>(F35-(AB35*'Table S-1a'!$AX$17))/AC35</f>
        <v>0.81978412351414121</v>
      </c>
      <c r="Q35" s="316">
        <f>$G35*(P35-'Table S-1a'!$AX$17)/($F35-'Table S-1a'!$AX$17)*(1/AC35)</f>
        <v>0.18667944699051356</v>
      </c>
      <c r="R35" s="315">
        <f>(H35/(J35*10000)*1000000)/'Table S-1a'!$AX$16</f>
        <v>3.7518924018693638</v>
      </c>
      <c r="S35" s="315">
        <f>(I35/(J35*10000)*1000000)/'Table S-1a'!$AV$16</f>
        <v>4.1098539793056759</v>
      </c>
      <c r="T35" s="377">
        <f t="shared" ref="T35:T57" si="9">S35/R35</f>
        <v>1.0954082737708468</v>
      </c>
      <c r="U35" s="373"/>
      <c r="V35" s="330">
        <f t="shared" ref="V35:V58" si="10">H35/J35</f>
        <v>0.44647519582245432</v>
      </c>
      <c r="W35" s="377">
        <f t="shared" ref="W35:W58" si="11">I35/J35</f>
        <v>0.44386422976501305</v>
      </c>
      <c r="X35" s="380"/>
      <c r="Y35" s="332">
        <f>('Table S-1a'!AV$16*(J35/100))/H35</f>
        <v>0.24189473684210527</v>
      </c>
      <c r="Z35" s="332">
        <f>('Table S-1a'!AW$16*(K35/100))/H35</f>
        <v>0</v>
      </c>
      <c r="AA35" s="332">
        <f t="shared" ref="AA35:AA58" si="12">1-(Y35+Z35)</f>
        <v>0.75810526315789473</v>
      </c>
      <c r="AB35" s="332">
        <f>('Table S-1a'!AX$16*(J35/100))/I35</f>
        <v>0.2681</v>
      </c>
      <c r="AC35" s="383">
        <f t="shared" ref="AC35:AC58" si="13">1-(AB35)</f>
        <v>0.7319</v>
      </c>
    </row>
    <row r="36" spans="2:29">
      <c r="B36" s="314">
        <v>34</v>
      </c>
      <c r="C36" s="355"/>
      <c r="D36" s="366">
        <v>0.02</v>
      </c>
      <c r="E36" s="334">
        <v>0.05</v>
      </c>
      <c r="F36" s="334">
        <v>0.47</v>
      </c>
      <c r="G36" s="322">
        <v>0.1</v>
      </c>
      <c r="H36" s="335">
        <v>2.85</v>
      </c>
      <c r="I36" s="339">
        <v>5.0999999999999996</v>
      </c>
      <c r="J36" s="365">
        <v>5.48</v>
      </c>
      <c r="K36" s="375"/>
      <c r="L36" s="330">
        <f t="shared" si="7"/>
        <v>2.2581600000000002</v>
      </c>
      <c r="M36" s="316">
        <f>(D36-(Y36*'Table S-1a'!$AV$17)-('Table S-1a'!$AW$17*Z36))/AA36</f>
        <v>0.10386863641194602</v>
      </c>
      <c r="N36" s="316">
        <f>$E36*(M36-'Table S-1a'!$AV$17)/($D36-'Table S-1a'!$AV$17)*(1/AA36)</f>
        <v>7.9643493885373368E-2</v>
      </c>
      <c r="O36" s="331">
        <f t="shared" si="8"/>
        <v>4.4478799999999996</v>
      </c>
      <c r="P36" s="316">
        <f>(F36-(AB36*'Table S-1a'!$AX$17))/AC36</f>
        <v>0.53890842378841153</v>
      </c>
      <c r="Q36" s="316">
        <f>$G36*(P36-'Table S-1a'!$AX$17)/($F36-'Table S-1a'!$AX$17)*(1/AC36)</f>
        <v>0.13147229028071986</v>
      </c>
      <c r="R36" s="315">
        <f>(H36/(J36*10000)*1000000)/'Table S-1a'!$AX$16</f>
        <v>4.3703612831994105</v>
      </c>
      <c r="S36" s="315">
        <f>(I36/(J36*10000)*1000000)/'Table S-1a'!$AV$16</f>
        <v>8.6171938361719373</v>
      </c>
      <c r="T36" s="377">
        <f t="shared" si="9"/>
        <v>1.9717348927875245</v>
      </c>
      <c r="U36" s="373"/>
      <c r="V36" s="330">
        <f t="shared" si="10"/>
        <v>0.52007299270072993</v>
      </c>
      <c r="W36" s="377">
        <f t="shared" si="11"/>
        <v>0.93065693430656926</v>
      </c>
      <c r="X36" s="380"/>
      <c r="Y36" s="332">
        <f>('Table S-1a'!AV$16*(J36/100))/H36</f>
        <v>0.20766315789473686</v>
      </c>
      <c r="Z36" s="332">
        <f>('Table S-1a'!AW$16*(K36/100))/H36</f>
        <v>0</v>
      </c>
      <c r="AA36" s="332">
        <f t="shared" si="12"/>
        <v>0.79233684210526312</v>
      </c>
      <c r="AB36" s="332">
        <f>('Table S-1a'!AX$16*(J36/100))/I36</f>
        <v>0.12786666666666668</v>
      </c>
      <c r="AC36" s="383">
        <f t="shared" si="13"/>
        <v>0.87213333333333332</v>
      </c>
    </row>
    <row r="37" spans="2:29">
      <c r="B37" s="314">
        <v>35</v>
      </c>
      <c r="C37" s="355"/>
      <c r="D37" s="366">
        <v>0.1</v>
      </c>
      <c r="E37" s="334">
        <v>0.05</v>
      </c>
      <c r="F37" s="334">
        <v>0.5</v>
      </c>
      <c r="G37" s="322">
        <v>0.1</v>
      </c>
      <c r="H37" s="335">
        <v>6.01</v>
      </c>
      <c r="I37" s="339">
        <v>11.9</v>
      </c>
      <c r="J37" s="365">
        <v>7.68</v>
      </c>
      <c r="K37" s="375"/>
      <c r="L37" s="330">
        <f t="shared" si="7"/>
        <v>5.1805599999999998</v>
      </c>
      <c r="M37" s="316">
        <f>(D37-(Y37*'Table S-1a'!$AV$17)-('Table S-1a'!$AW$17*Z37))/AA37</f>
        <v>0.16404249733619533</v>
      </c>
      <c r="N37" s="316">
        <f>$E37*(M37-'Table S-1a'!$AV$17)/($D37-'Table S-1a'!$AV$17)*(1/AA37)</f>
        <v>6.7292324791879021E-2</v>
      </c>
      <c r="O37" s="331">
        <f t="shared" si="8"/>
        <v>10.986080000000001</v>
      </c>
      <c r="P37" s="316">
        <f>(F37-(AB37*'Table S-1a'!$AX$17))/AC37</f>
        <v>0.54159445407279028</v>
      </c>
      <c r="Q37" s="316">
        <f>$G37*(P37-'Table S-1a'!$AX$17)/($F37-'Table S-1a'!$AX$17)*(1/AC37)</f>
        <v>0.1173298210729615</v>
      </c>
      <c r="R37" s="315">
        <f>(H37/(J37*10000)*1000000)/'Table S-1a'!$AX$16</f>
        <v>6.5760679271708682</v>
      </c>
      <c r="S37" s="315">
        <f>(I37/(J37*10000)*1000000)/'Table S-1a'!$AV$16</f>
        <v>14.347029320987655</v>
      </c>
      <c r="T37" s="377">
        <f t="shared" si="9"/>
        <v>2.1817033339495904</v>
      </c>
      <c r="U37" s="373"/>
      <c r="V37" s="330">
        <f t="shared" si="10"/>
        <v>0.78255208333333337</v>
      </c>
      <c r="W37" s="377">
        <f t="shared" si="11"/>
        <v>1.5494791666666667</v>
      </c>
      <c r="X37" s="380"/>
      <c r="Y37" s="332">
        <f>('Table S-1a'!AV$16*(J37/100))/H37</f>
        <v>0.1380099833610649</v>
      </c>
      <c r="Z37" s="332">
        <f>('Table S-1a'!AW$16*(K37/100))/H37</f>
        <v>0</v>
      </c>
      <c r="AA37" s="332">
        <f t="shared" si="12"/>
        <v>0.86199001663893515</v>
      </c>
      <c r="AB37" s="332">
        <f>('Table S-1a'!AX$16*(J37/100))/I37</f>
        <v>7.6799999999999993E-2</v>
      </c>
      <c r="AC37" s="383">
        <f t="shared" si="13"/>
        <v>0.92320000000000002</v>
      </c>
    </row>
    <row r="38" spans="2:29">
      <c r="B38" s="314">
        <v>36</v>
      </c>
      <c r="C38" s="355"/>
      <c r="D38" s="366">
        <v>-0.06</v>
      </c>
      <c r="E38" s="334">
        <v>0.05</v>
      </c>
      <c r="F38" s="334">
        <v>0.61</v>
      </c>
      <c r="G38" s="322">
        <v>0.1</v>
      </c>
      <c r="H38" s="335">
        <v>2.73</v>
      </c>
      <c r="I38" s="339">
        <v>5.0999999999999996</v>
      </c>
      <c r="J38" s="365">
        <v>7.14</v>
      </c>
      <c r="K38" s="375"/>
      <c r="L38" s="330">
        <f t="shared" si="7"/>
        <v>1.9588800000000002</v>
      </c>
      <c r="M38" s="316">
        <f>(D38-(Y38*'Table S-1a'!$AV$17)-('Table S-1a'!$AW$17*Z38))/AA38</f>
        <v>3.447684391080616E-2</v>
      </c>
      <c r="N38" s="316">
        <f>$E38*(M38-'Table S-1a'!$AV$17)/($D38-'Table S-1a'!$AV$17)*(1/AA38)</f>
        <v>9.7113506174074465E-2</v>
      </c>
      <c r="O38" s="331">
        <f t="shared" si="8"/>
        <v>4.2503399999999996</v>
      </c>
      <c r="P38" s="316">
        <f>(F38-(AB38*'Table S-1a'!$AX$17))/AC38</f>
        <v>0.73194144468442524</v>
      </c>
      <c r="Q38" s="316">
        <f>$G38*(P38-'Table S-1a'!$AX$17)/($F38-'Table S-1a'!$AX$17)*(1/AC38)</f>
        <v>0.14397696276450511</v>
      </c>
      <c r="R38" s="315">
        <f>(H38/(J38*10000)*1000000)/'Table S-1a'!$AX$16</f>
        <v>3.2130499258526939</v>
      </c>
      <c r="S38" s="315">
        <f>(I38/(J38*10000)*1000000)/'Table S-1a'!$AV$16</f>
        <v>6.6137566137566122</v>
      </c>
      <c r="T38" s="377">
        <f t="shared" si="9"/>
        <v>2.058404558404558</v>
      </c>
      <c r="U38" s="373"/>
      <c r="V38" s="330">
        <f t="shared" si="10"/>
        <v>0.38235294117647062</v>
      </c>
      <c r="W38" s="377">
        <f t="shared" si="11"/>
        <v>0.7142857142857143</v>
      </c>
      <c r="X38" s="380"/>
      <c r="Y38" s="332">
        <f>('Table S-1a'!AV$16*(J38/100))/H38</f>
        <v>0.28246153846153843</v>
      </c>
      <c r="Z38" s="332">
        <f>('Table S-1a'!AW$16*(K38/100))/H38</f>
        <v>0</v>
      </c>
      <c r="AA38" s="332">
        <f t="shared" si="12"/>
        <v>0.71753846153846157</v>
      </c>
      <c r="AB38" s="332">
        <f>('Table S-1a'!AX$16*(J38/100))/I38</f>
        <v>0.1666</v>
      </c>
      <c r="AC38" s="383">
        <f t="shared" si="13"/>
        <v>0.83340000000000003</v>
      </c>
    </row>
    <row r="39" spans="2:29">
      <c r="B39" s="314">
        <v>37</v>
      </c>
      <c r="C39" s="355"/>
      <c r="D39" s="366">
        <v>-0.08</v>
      </c>
      <c r="E39" s="334">
        <v>0.05</v>
      </c>
      <c r="F39" s="334">
        <v>0.45</v>
      </c>
      <c r="G39" s="322">
        <v>0.1</v>
      </c>
      <c r="H39" s="335">
        <v>3.16</v>
      </c>
      <c r="I39" s="339">
        <v>6.5</v>
      </c>
      <c r="J39" s="365">
        <v>6.32</v>
      </c>
      <c r="K39" s="375"/>
      <c r="L39" s="330">
        <f t="shared" si="7"/>
        <v>2.4774399999999996</v>
      </c>
      <c r="M39" s="316">
        <f>(D39-(Y39*'Table S-1a'!$AV$17)-('Table S-1a'!$AW$17*Z39))/AA39</f>
        <v>-1.9387755102040806E-2</v>
      </c>
      <c r="N39" s="316">
        <f>$E39*(M39-'Table S-1a'!$AV$17)/($D39-'Table S-1a'!$AV$17)*(1/AA39)</f>
        <v>8.1346314035818421E-2</v>
      </c>
      <c r="O39" s="331">
        <f t="shared" si="8"/>
        <v>5.7479199999999997</v>
      </c>
      <c r="P39" s="316">
        <f>(F39-(AB39*'Table S-1a'!$AX$17))/AC39</f>
        <v>0.508879733886345</v>
      </c>
      <c r="Q39" s="316">
        <f>$G39*(P39-'Table S-1a'!$AX$17)/($F39-'Table S-1a'!$AX$17)*(1/AC39)</f>
        <v>0.12788078200505548</v>
      </c>
      <c r="R39" s="315">
        <f>(H39/(J39*10000)*1000000)/'Table S-1a'!$AX$16</f>
        <v>4.2016806722689077</v>
      </c>
      <c r="S39" s="315">
        <f>(I39/(J39*10000)*1000000)/'Table S-1a'!$AV$16</f>
        <v>9.5229723394280335</v>
      </c>
      <c r="T39" s="377">
        <f t="shared" si="9"/>
        <v>2.2664674167838719</v>
      </c>
      <c r="U39" s="373"/>
      <c r="V39" s="330">
        <f t="shared" si="10"/>
        <v>0.5</v>
      </c>
      <c r="W39" s="377">
        <f t="shared" si="11"/>
        <v>1.0284810126582278</v>
      </c>
      <c r="X39" s="380"/>
      <c r="Y39" s="332">
        <f>('Table S-1a'!AV$16*(J39/100))/H39</f>
        <v>0.21600000000000005</v>
      </c>
      <c r="Z39" s="332">
        <f>('Table S-1a'!AW$16*(K39/100))/H39</f>
        <v>0</v>
      </c>
      <c r="AA39" s="332">
        <f t="shared" si="12"/>
        <v>0.78399999999999992</v>
      </c>
      <c r="AB39" s="332">
        <f>('Table S-1a'!AX$16*(J39/100))/I39</f>
        <v>0.11570461538461539</v>
      </c>
      <c r="AC39" s="383">
        <f t="shared" si="13"/>
        <v>0.88429538461538459</v>
      </c>
    </row>
    <row r="40" spans="2:29">
      <c r="B40" s="314">
        <v>38</v>
      </c>
      <c r="C40" s="355"/>
      <c r="D40" s="366">
        <v>0.02</v>
      </c>
      <c r="E40" s="334">
        <v>0.05</v>
      </c>
      <c r="F40" s="334">
        <v>0.39</v>
      </c>
      <c r="G40" s="322">
        <v>0.1</v>
      </c>
      <c r="H40" s="335">
        <v>2.78</v>
      </c>
      <c r="I40" s="339">
        <v>7</v>
      </c>
      <c r="J40" s="365">
        <v>3.7</v>
      </c>
      <c r="K40" s="375"/>
      <c r="L40" s="330">
        <f t="shared" si="7"/>
        <v>2.3803999999999998</v>
      </c>
      <c r="M40" s="316">
        <f>(D40-(Y40*'Table S-1a'!$AV$17)-('Table S-1a'!$AW$17*Z40))/AA40</f>
        <v>7.3718702739035483E-2</v>
      </c>
      <c r="N40" s="316">
        <f>$E40*(M40-'Table S-1a'!$AV$17)/($D40-'Table S-1a'!$AV$17)*(1/AA40)</f>
        <v>6.8196127332493917E-2</v>
      </c>
      <c r="O40" s="331">
        <f t="shared" si="8"/>
        <v>6.5597000000000003</v>
      </c>
      <c r="P40" s="316">
        <f>(F40-(AB40*'Table S-1a'!$AX$17))/AC40</f>
        <v>0.41617756909614767</v>
      </c>
      <c r="Q40" s="316">
        <f>$G40*(P40-'Table S-1a'!$AX$17)/($F40-'Table S-1a'!$AX$17)*(1/AC40)</f>
        <v>0.11387493032135357</v>
      </c>
      <c r="R40" s="315">
        <f>(H40/(J40*10000)*1000000)/'Table S-1a'!$AX$16</f>
        <v>6.3138769021121952</v>
      </c>
      <c r="S40" s="315">
        <f>(I40/(J40*10000)*1000000)/'Table S-1a'!$AV$16</f>
        <v>17.517517517517518</v>
      </c>
      <c r="T40" s="377">
        <f t="shared" si="9"/>
        <v>2.7744471089794835</v>
      </c>
      <c r="U40" s="373"/>
      <c r="V40" s="330">
        <f t="shared" si="10"/>
        <v>0.75135135135135123</v>
      </c>
      <c r="W40" s="377">
        <f t="shared" si="11"/>
        <v>1.8918918918918919</v>
      </c>
      <c r="X40" s="380"/>
      <c r="Y40" s="332">
        <f>('Table S-1a'!AV$16*(J40/100))/H40</f>
        <v>0.14374100719424465</v>
      </c>
      <c r="Z40" s="332">
        <f>('Table S-1a'!AW$16*(K40/100))/H40</f>
        <v>0</v>
      </c>
      <c r="AA40" s="332">
        <f t="shared" si="12"/>
        <v>0.85625899280575535</v>
      </c>
      <c r="AB40" s="332">
        <f>('Table S-1a'!AX$16*(J40/100))/I40</f>
        <v>6.2900000000000011E-2</v>
      </c>
      <c r="AC40" s="383">
        <f t="shared" si="13"/>
        <v>0.93710000000000004</v>
      </c>
    </row>
    <row r="41" spans="2:29">
      <c r="B41" s="314">
        <v>4</v>
      </c>
      <c r="C41" s="355"/>
      <c r="D41" s="366">
        <v>0.39</v>
      </c>
      <c r="E41" s="334">
        <v>0.05</v>
      </c>
      <c r="F41" s="334">
        <v>0.42</v>
      </c>
      <c r="G41" s="322">
        <v>0.1</v>
      </c>
      <c r="H41" s="335">
        <v>11.5</v>
      </c>
      <c r="I41" s="339">
        <v>46.6</v>
      </c>
      <c r="J41" s="365">
        <v>5.14</v>
      </c>
      <c r="K41" s="375"/>
      <c r="L41" s="330">
        <f t="shared" si="7"/>
        <v>10.944879999999999</v>
      </c>
      <c r="M41" s="316">
        <f>(D41-(Y41*'Table S-1a'!$AV$17)-('Table S-1a'!$AW$17*Z41))/AA41</f>
        <v>0.42499652805695454</v>
      </c>
      <c r="N41" s="316">
        <f>$E41*(M41-'Table S-1a'!$AV$17)/($D41-'Table S-1a'!$AV$17)*(1/AA41)</f>
        <v>5.5200584508993754E-2</v>
      </c>
      <c r="O41" s="331">
        <f t="shared" si="8"/>
        <v>45.988340000000001</v>
      </c>
      <c r="P41" s="316">
        <f>(F41-(AB41*'Table S-1a'!$AX$17))/AC41</f>
        <v>0.42558613770360049</v>
      </c>
      <c r="Q41" s="316">
        <f>$G41*(P41-'Table S-1a'!$AX$17)/($F41-'Table S-1a'!$AX$17)*(1/AC41)</f>
        <v>0.10267775544527666</v>
      </c>
      <c r="R41" s="315">
        <f>(H41/(J41*10000)*1000000)/'Table S-1a'!$AX$16</f>
        <v>18.801294837000949</v>
      </c>
      <c r="S41" s="315">
        <f>(I41/(J41*10000)*1000000)/'Table S-1a'!$AV$16</f>
        <v>83.945813517797959</v>
      </c>
      <c r="T41" s="377">
        <f t="shared" si="9"/>
        <v>4.4648953301127214</v>
      </c>
      <c r="U41" s="373"/>
      <c r="V41" s="330">
        <f t="shared" si="10"/>
        <v>2.2373540856031129</v>
      </c>
      <c r="W41" s="377">
        <f t="shared" si="11"/>
        <v>9.0661478599221805</v>
      </c>
      <c r="X41" s="380"/>
      <c r="Y41" s="332">
        <f>('Table S-1a'!AV$16*(J41/100))/H41</f>
        <v>4.8271304347826081E-2</v>
      </c>
      <c r="Z41" s="332">
        <f>('Table S-1a'!AW$16*(K41/100))/H41</f>
        <v>0</v>
      </c>
      <c r="AA41" s="332">
        <f t="shared" si="12"/>
        <v>0.95172869565217388</v>
      </c>
      <c r="AB41" s="332">
        <f>('Table S-1a'!AX$16*(J41/100))/I41</f>
        <v>1.3125751072961373E-2</v>
      </c>
      <c r="AC41" s="383">
        <f t="shared" si="13"/>
        <v>0.98687424892703868</v>
      </c>
    </row>
    <row r="42" spans="2:29">
      <c r="B42" s="314">
        <v>5</v>
      </c>
      <c r="C42" s="355"/>
      <c r="D42" s="366">
        <v>0.26</v>
      </c>
      <c r="E42" s="334">
        <v>0.05</v>
      </c>
      <c r="F42" s="334">
        <v>0.3</v>
      </c>
      <c r="G42" s="322">
        <v>0.1</v>
      </c>
      <c r="H42" s="335">
        <v>10.81</v>
      </c>
      <c r="I42" s="339">
        <v>72.3</v>
      </c>
      <c r="J42" s="365">
        <v>6.3</v>
      </c>
      <c r="K42" s="375"/>
      <c r="L42" s="330">
        <f t="shared" si="7"/>
        <v>10.1296</v>
      </c>
      <c r="M42" s="316">
        <f>(D42-(Y42*'Table S-1a'!$AV$17)-('Table S-1a'!$AW$17*Z42))/AA42</f>
        <v>0.29761491075659458</v>
      </c>
      <c r="N42" s="316">
        <f>$E42*(M42-'Table S-1a'!$AV$17)/($D42-'Table S-1a'!$AV$17)*(1/AA42)</f>
        <v>5.6942535325033877E-2</v>
      </c>
      <c r="O42" s="331">
        <f t="shared" si="8"/>
        <v>71.550299999999993</v>
      </c>
      <c r="P42" s="316">
        <f>(F42-(AB42*'Table S-1a'!$AX$17))/AC42</f>
        <v>0.30314338304661198</v>
      </c>
      <c r="Q42" s="316">
        <f>$G42*(P42-'Table S-1a'!$AX$17)/($F42-'Table S-1a'!$AX$17)*(1/AC42)</f>
        <v>0.10210656742771658</v>
      </c>
      <c r="R42" s="315">
        <f>(H42/(J42*10000)*1000000)/'Table S-1a'!$AX$16</f>
        <v>14.419100973722824</v>
      </c>
      <c r="S42" s="315">
        <f>(I42/(J42*10000)*1000000)/'Table S-1a'!$AV$16</f>
        <v>106.26102292768958</v>
      </c>
      <c r="T42" s="377">
        <f t="shared" si="9"/>
        <v>7.3694624319046138</v>
      </c>
      <c r="U42" s="373"/>
      <c r="V42" s="330">
        <f t="shared" si="10"/>
        <v>1.715873015873016</v>
      </c>
      <c r="W42" s="377">
        <f t="shared" si="11"/>
        <v>11.476190476190476</v>
      </c>
      <c r="X42" s="380"/>
      <c r="Y42" s="332">
        <f>('Table S-1a'!AV$16*(J42/100))/H42</f>
        <v>6.2941720629047182E-2</v>
      </c>
      <c r="Z42" s="332">
        <f>('Table S-1a'!AW$16*(K42/100))/H42</f>
        <v>0</v>
      </c>
      <c r="AA42" s="332">
        <f t="shared" si="12"/>
        <v>0.93705827937095276</v>
      </c>
      <c r="AB42" s="332">
        <f>('Table S-1a'!AX$16*(J42/100))/I42</f>
        <v>1.036929460580913E-2</v>
      </c>
      <c r="AC42" s="383">
        <f t="shared" si="13"/>
        <v>0.98963070539419085</v>
      </c>
    </row>
    <row r="43" spans="2:29">
      <c r="B43" s="314">
        <v>6</v>
      </c>
      <c r="C43" s="355"/>
      <c r="D43" s="366">
        <v>0.17</v>
      </c>
      <c r="E43" s="334">
        <v>0.05</v>
      </c>
      <c r="F43" s="334">
        <v>0.43</v>
      </c>
      <c r="G43" s="322">
        <v>0.1</v>
      </c>
      <c r="H43" s="335">
        <v>9.61</v>
      </c>
      <c r="I43" s="339">
        <v>39.5</v>
      </c>
      <c r="J43" s="365">
        <v>7.1</v>
      </c>
      <c r="K43" s="375"/>
      <c r="L43" s="330">
        <f t="shared" si="7"/>
        <v>8.8431999999999995</v>
      </c>
      <c r="M43" s="316">
        <f>(D43-(Y43*'Table S-1a'!$AV$17)-('Table S-1a'!$AW$17*Z43))/AA43</f>
        <v>0.21075402569205717</v>
      </c>
      <c r="N43" s="316">
        <f>$E43*(M43-'Table S-1a'!$AV$17)/($D43-'Table S-1a'!$AV$17)*(1/AA43)</f>
        <v>5.9047006509878368E-2</v>
      </c>
      <c r="O43" s="331">
        <f t="shared" si="8"/>
        <v>38.655100000000004</v>
      </c>
      <c r="P43" s="316">
        <f>(F43-(AB43*'Table S-1a'!$AX$17))/AC43</f>
        <v>0.43939868219200051</v>
      </c>
      <c r="Q43" s="316">
        <f>$G43*(P43-'Table S-1a'!$AX$17)/($F43-'Table S-1a'!$AX$17)*(1/AC43)</f>
        <v>0.1044192546847305</v>
      </c>
      <c r="R43" s="315">
        <f>(H43/(J43*10000)*1000000)/'Table S-1a'!$AX$16</f>
        <v>11.374127115634984</v>
      </c>
      <c r="S43" s="315">
        <f>(I43/(J43*10000)*1000000)/'Table S-1a'!$AV$16</f>
        <v>51.512780386019813</v>
      </c>
      <c r="T43" s="377">
        <f t="shared" si="9"/>
        <v>4.528943615832274</v>
      </c>
      <c r="U43" s="373"/>
      <c r="V43" s="330">
        <f t="shared" si="10"/>
        <v>1.3535211267605634</v>
      </c>
      <c r="W43" s="377">
        <f t="shared" si="11"/>
        <v>5.563380281690141</v>
      </c>
      <c r="X43" s="380"/>
      <c r="Y43" s="332">
        <f>('Table S-1a'!AV$16*(J43/100))/H43</f>
        <v>7.9791883454734661E-2</v>
      </c>
      <c r="Z43" s="332">
        <f>('Table S-1a'!AW$16*(K43/100))/H43</f>
        <v>0</v>
      </c>
      <c r="AA43" s="332">
        <f t="shared" si="12"/>
        <v>0.92020811654526535</v>
      </c>
      <c r="AB43" s="332">
        <f>('Table S-1a'!AX$16*(J43/100))/I43</f>
        <v>2.1389873417721517E-2</v>
      </c>
      <c r="AC43" s="383">
        <f t="shared" si="13"/>
        <v>0.97861012658227853</v>
      </c>
    </row>
    <row r="44" spans="2:29">
      <c r="B44" s="314">
        <v>7</v>
      </c>
      <c r="C44" s="355"/>
      <c r="D44" s="366">
        <v>0.21</v>
      </c>
      <c r="E44" s="334">
        <v>0.05</v>
      </c>
      <c r="F44" s="334">
        <v>0.38</v>
      </c>
      <c r="G44" s="322">
        <v>0.1</v>
      </c>
      <c r="H44" s="335">
        <v>6.36</v>
      </c>
      <c r="I44" s="339">
        <v>23.1</v>
      </c>
      <c r="J44" s="365">
        <v>6.12</v>
      </c>
      <c r="K44" s="375"/>
      <c r="L44" s="330">
        <f t="shared" si="7"/>
        <v>5.6990400000000001</v>
      </c>
      <c r="M44" s="316">
        <f>(D44-(Y44*'Table S-1a'!$AV$17)-('Table S-1a'!$AW$17*Z44))/AA44</f>
        <v>0.26914848816642806</v>
      </c>
      <c r="N44" s="316">
        <f>$E44*(M44-'Table S-1a'!$AV$17)/($D44-'Table S-1a'!$AV$17)*(1/AA44)</f>
        <v>6.2270280965423044E-2</v>
      </c>
      <c r="O44" s="331">
        <f t="shared" si="8"/>
        <v>22.37172</v>
      </c>
      <c r="P44" s="316">
        <f>(F44-(AB44*'Table S-1a'!$AX$17))/AC44</f>
        <v>0.39237036758908123</v>
      </c>
      <c r="Q44" s="316">
        <f>$G44*(P44-'Table S-1a'!$AX$17)/($F44-'Table S-1a'!$AX$17)*(1/AC44)</f>
        <v>0.1066166934639825</v>
      </c>
      <c r="R44" s="315">
        <f>(H44/(J44*10000)*1000000)/'Table S-1a'!$AX$16</f>
        <v>8.7329049266765537</v>
      </c>
      <c r="S44" s="315">
        <f>(I44/(J44*10000)*1000000)/'Table S-1a'!$AV$16</f>
        <v>34.94916485112563</v>
      </c>
      <c r="T44" s="377">
        <f t="shared" si="9"/>
        <v>4.0020090845562537</v>
      </c>
      <c r="U44" s="373"/>
      <c r="V44" s="330">
        <f t="shared" si="10"/>
        <v>1.0392156862745099</v>
      </c>
      <c r="W44" s="377">
        <f t="shared" si="11"/>
        <v>3.774509803921569</v>
      </c>
      <c r="X44" s="380"/>
      <c r="Y44" s="332">
        <f>('Table S-1a'!AV$16*(J44/100))/H44</f>
        <v>0.10392452830188681</v>
      </c>
      <c r="Z44" s="332">
        <f>('Table S-1a'!AW$16*(K44/100))/H44</f>
        <v>0</v>
      </c>
      <c r="AA44" s="332">
        <f t="shared" si="12"/>
        <v>0.89607547169811319</v>
      </c>
      <c r="AB44" s="332">
        <f>('Table S-1a'!AX$16*(J44/100))/I44</f>
        <v>3.152727272727273E-2</v>
      </c>
      <c r="AC44" s="383">
        <f t="shared" si="13"/>
        <v>0.96847272727272726</v>
      </c>
    </row>
    <row r="45" spans="2:29">
      <c r="B45" s="314">
        <v>10</v>
      </c>
      <c r="C45" s="355"/>
      <c r="D45" s="366">
        <v>0.12</v>
      </c>
      <c r="E45" s="334">
        <v>0.05</v>
      </c>
      <c r="F45" s="334">
        <v>0.46</v>
      </c>
      <c r="G45" s="322">
        <v>0.1</v>
      </c>
      <c r="H45" s="335">
        <v>3.81</v>
      </c>
      <c r="I45" s="339">
        <v>14.1</v>
      </c>
      <c r="J45" s="365">
        <v>2.44</v>
      </c>
      <c r="K45" s="375"/>
      <c r="L45" s="330">
        <f t="shared" si="7"/>
        <v>3.5464799999999999</v>
      </c>
      <c r="M45" s="316">
        <f>(D45-(Y45*'Table S-1a'!$AV$17)-('Table S-1a'!$AW$17*Z45))/AA45</f>
        <v>0.15120795831359546</v>
      </c>
      <c r="N45" s="316">
        <f>$E45*(M45-'Table S-1a'!$AV$17)/($D45-'Table S-1a'!$AV$17)*(1/AA45)</f>
        <v>5.7706525409728836E-2</v>
      </c>
      <c r="O45" s="331">
        <f t="shared" si="8"/>
        <v>13.80964</v>
      </c>
      <c r="P45" s="316">
        <f>(F45-(AB45*'Table S-1a'!$AX$17))/AC45</f>
        <v>0.46967191034668537</v>
      </c>
      <c r="Q45" s="316">
        <f>$G45*(P45-'Table S-1a'!$AX$17)/($F45-'Table S-1a'!$AX$17)*(1/AC45)</f>
        <v>0.10424938722528583</v>
      </c>
      <c r="R45" s="315">
        <f>(H45/(J45*10000)*1000000)/'Table S-1a'!$AX$16</f>
        <v>13.121642099462735</v>
      </c>
      <c r="S45" s="315">
        <f>(I45/(J45*10000)*1000000)/'Table S-1a'!$AV$16</f>
        <v>53.506375227686696</v>
      </c>
      <c r="T45" s="377">
        <f t="shared" si="9"/>
        <v>4.0777194517351996</v>
      </c>
      <c r="U45" s="373"/>
      <c r="V45" s="330">
        <f t="shared" si="10"/>
        <v>1.5614754098360657</v>
      </c>
      <c r="W45" s="377">
        <f t="shared" si="11"/>
        <v>5.778688524590164</v>
      </c>
      <c r="X45" s="380"/>
      <c r="Y45" s="332">
        <f>('Table S-1a'!AV$16*(J45/100))/H45</f>
        <v>6.9165354330708653E-2</v>
      </c>
      <c r="Z45" s="332">
        <f>('Table S-1a'!AW$16*(K45/100))/H45</f>
        <v>0</v>
      </c>
      <c r="AA45" s="332">
        <f t="shared" si="12"/>
        <v>0.93083464566929131</v>
      </c>
      <c r="AB45" s="332">
        <f>('Table S-1a'!AX$16*(J45/100))/I45</f>
        <v>2.0592907801418439E-2</v>
      </c>
      <c r="AC45" s="383">
        <f t="shared" si="13"/>
        <v>0.97940709219858157</v>
      </c>
    </row>
    <row r="46" spans="2:29">
      <c r="B46" s="314">
        <v>11</v>
      </c>
      <c r="C46" s="355"/>
      <c r="D46" s="366">
        <v>0.23</v>
      </c>
      <c r="E46" s="334">
        <v>0.05</v>
      </c>
      <c r="F46" s="334">
        <v>0.41</v>
      </c>
      <c r="G46" s="322">
        <v>0.1</v>
      </c>
      <c r="H46" s="335">
        <v>4.58</v>
      </c>
      <c r="I46" s="339">
        <v>23</v>
      </c>
      <c r="J46" s="365">
        <v>5.27</v>
      </c>
      <c r="K46" s="375"/>
      <c r="L46" s="330">
        <f t="shared" si="7"/>
        <v>4.01084</v>
      </c>
      <c r="M46" s="316">
        <f>(D46-(Y46*'Table S-1a'!$AV$17)-('Table S-1a'!$AW$17*Z46))/AA46</f>
        <v>0.30520988122188869</v>
      </c>
      <c r="N46" s="316">
        <f>$E46*(M46-'Table S-1a'!$AV$17)/($D46-'Table S-1a'!$AV$17)*(1/AA46)</f>
        <v>6.5197401268887956E-2</v>
      </c>
      <c r="O46" s="331">
        <f t="shared" si="8"/>
        <v>22.372869999999999</v>
      </c>
      <c r="P46" s="316">
        <f>(F46-(AB46*'Table S-1a'!$AX$17))/AC46</f>
        <v>0.42149263818186938</v>
      </c>
      <c r="Q46" s="316">
        <f>$G46*(P46-'Table S-1a'!$AX$17)/($F46-'Table S-1a'!$AX$17)*(1/AC46)</f>
        <v>0.10568473768085204</v>
      </c>
      <c r="R46" s="315">
        <f>(H46/(J46*10000)*1000000)/'Table S-1a'!$AX$16</f>
        <v>7.3031109977197719</v>
      </c>
      <c r="S46" s="315">
        <f>(I46/(J46*10000)*1000000)/'Table S-1a'!$AV$16</f>
        <v>40.41042940473681</v>
      </c>
      <c r="T46" s="377">
        <f t="shared" si="9"/>
        <v>5.5333171599547146</v>
      </c>
      <c r="U46" s="373"/>
      <c r="V46" s="330">
        <f t="shared" si="10"/>
        <v>0.86907020872865282</v>
      </c>
      <c r="W46" s="377">
        <f t="shared" si="11"/>
        <v>4.3643263757115749</v>
      </c>
      <c r="X46" s="380"/>
      <c r="Y46" s="332">
        <f>('Table S-1a'!AV$16*(J46/100))/H46</f>
        <v>0.1242707423580786</v>
      </c>
      <c r="Z46" s="332">
        <f>('Table S-1a'!AW$16*(K46/100))/H46</f>
        <v>0</v>
      </c>
      <c r="AA46" s="332">
        <f t="shared" si="12"/>
        <v>0.87572925764192144</v>
      </c>
      <c r="AB46" s="332">
        <f>('Table S-1a'!AX$16*(J46/100))/I46</f>
        <v>2.7266521739130432E-2</v>
      </c>
      <c r="AC46" s="383">
        <f t="shared" si="13"/>
        <v>0.97273347826086953</v>
      </c>
    </row>
    <row r="47" spans="2:29">
      <c r="B47" s="314">
        <v>12</v>
      </c>
      <c r="C47" s="355"/>
      <c r="D47" s="366">
        <v>0.19</v>
      </c>
      <c r="E47" s="334">
        <v>0.05</v>
      </c>
      <c r="F47" s="334">
        <v>0.56000000000000005</v>
      </c>
      <c r="G47" s="322">
        <v>0.1</v>
      </c>
      <c r="H47" s="335">
        <v>7.15</v>
      </c>
      <c r="I47" s="339">
        <v>38.9</v>
      </c>
      <c r="J47" s="365">
        <v>6.75</v>
      </c>
      <c r="K47" s="375"/>
      <c r="L47" s="330">
        <f t="shared" si="7"/>
        <v>6.4210000000000003</v>
      </c>
      <c r="M47" s="316">
        <f>(D47-(Y47*'Table S-1a'!$AV$17)-('Table S-1a'!$AW$17*Z47))/AA47</f>
        <v>0.24563152156984894</v>
      </c>
      <c r="N47" s="316">
        <f>$E47*(M47-'Table S-1a'!$AV$17)/($D47-'Table S-1a'!$AV$17)*(1/AA47)</f>
        <v>6.1997866999297907E-2</v>
      </c>
      <c r="O47" s="331">
        <f t="shared" si="8"/>
        <v>38.09675</v>
      </c>
      <c r="P47" s="316">
        <f>(F47-(AB47*'Table S-1a'!$AX$17))/AC47</f>
        <v>0.57180730639752742</v>
      </c>
      <c r="Q47" s="316">
        <f>$G47*(P47-'Table S-1a'!$AX$17)/($F47-'Table S-1a'!$AX$17)*(1/AC47)</f>
        <v>0.10426135065357006</v>
      </c>
      <c r="R47" s="315">
        <f>(H47/(J47*10000)*1000000)/'Table S-1a'!$AX$16</f>
        <v>8.9013383131030182</v>
      </c>
      <c r="S47" s="315">
        <f>(I47/(J47*10000)*1000000)/'Table S-1a'!$AV$16</f>
        <v>53.36076817558299</v>
      </c>
      <c r="T47" s="377">
        <f t="shared" si="9"/>
        <v>5.9946904946904951</v>
      </c>
      <c r="U47" s="373"/>
      <c r="V47" s="330">
        <f t="shared" si="10"/>
        <v>1.0592592592592593</v>
      </c>
      <c r="W47" s="377">
        <f t="shared" si="11"/>
        <v>5.7629629629629626</v>
      </c>
      <c r="X47" s="380"/>
      <c r="Y47" s="332">
        <f>('Table S-1a'!AV$16*(J47/100))/H47</f>
        <v>0.10195804195804196</v>
      </c>
      <c r="Z47" s="332">
        <f>('Table S-1a'!AW$16*(K47/100))/H47</f>
        <v>0</v>
      </c>
      <c r="AA47" s="332">
        <f t="shared" si="12"/>
        <v>0.89804195804195808</v>
      </c>
      <c r="AB47" s="332">
        <f>('Table S-1a'!AX$16*(J47/100))/I47</f>
        <v>2.0649100257069414E-2</v>
      </c>
      <c r="AC47" s="383">
        <f t="shared" si="13"/>
        <v>0.97935089974293055</v>
      </c>
    </row>
    <row r="48" spans="2:29">
      <c r="B48" s="314">
        <v>13</v>
      </c>
      <c r="C48" s="355"/>
      <c r="D48" s="366">
        <v>0.26</v>
      </c>
      <c r="E48" s="334">
        <v>0.05</v>
      </c>
      <c r="F48" s="334">
        <v>0.41</v>
      </c>
      <c r="G48" s="322">
        <v>0.1</v>
      </c>
      <c r="H48" s="335">
        <v>9.9</v>
      </c>
      <c r="I48" s="339">
        <v>33.6</v>
      </c>
      <c r="J48" s="365">
        <v>5.46</v>
      </c>
      <c r="K48" s="375"/>
      <c r="L48" s="330">
        <f t="shared" si="7"/>
        <v>9.3103200000000008</v>
      </c>
      <c r="M48" s="316">
        <f>(D48-(Y48*'Table S-1a'!$AV$17)-('Table S-1a'!$AW$17*Z48))/AA48</f>
        <v>0.2954682545820122</v>
      </c>
      <c r="N48" s="316">
        <f>$E48*(M48-'Table S-1a'!$AV$17)/($D48-'Table S-1a'!$AV$17)*(1/AA48)</f>
        <v>5.6534190404169023E-2</v>
      </c>
      <c r="O48" s="331">
        <f t="shared" si="8"/>
        <v>32.95026</v>
      </c>
      <c r="P48" s="316">
        <f>(F48-(AB48*'Table S-1a'!$AX$17))/AC48</f>
        <v>0.4180847131403515</v>
      </c>
      <c r="Q48" s="316">
        <f>$G48*(P48-'Table S-1a'!$AX$17)/($F48-'Table S-1a'!$AX$17)*(1/AC48)</f>
        <v>0.10398264566427723</v>
      </c>
      <c r="R48" s="315">
        <f>(H48/(J48*10000)*1000000)/'Table S-1a'!$AX$16</f>
        <v>15.236863976359773</v>
      </c>
      <c r="S48" s="315">
        <f>(I48/(J48*10000)*1000000)/'Table S-1a'!$AV$16</f>
        <v>56.980056980056972</v>
      </c>
      <c r="T48" s="377">
        <f t="shared" si="9"/>
        <v>3.7396184062850728</v>
      </c>
      <c r="U48" s="373"/>
      <c r="V48" s="330">
        <f t="shared" si="10"/>
        <v>1.8131868131868132</v>
      </c>
      <c r="W48" s="377">
        <f t="shared" si="11"/>
        <v>6.1538461538461542</v>
      </c>
      <c r="X48" s="380"/>
      <c r="Y48" s="332">
        <f>('Table S-1a'!AV$16*(J48/100))/H48</f>
        <v>5.9563636363636374E-2</v>
      </c>
      <c r="Z48" s="332">
        <f>('Table S-1a'!AW$16*(K48/100))/H48</f>
        <v>0</v>
      </c>
      <c r="AA48" s="332">
        <f t="shared" si="12"/>
        <v>0.94043636363636363</v>
      </c>
      <c r="AB48" s="332">
        <f>('Table S-1a'!AX$16*(J48/100))/I48</f>
        <v>1.9337500000000001E-2</v>
      </c>
      <c r="AC48" s="383">
        <f t="shared" si="13"/>
        <v>0.98066249999999999</v>
      </c>
    </row>
    <row r="49" spans="1:32">
      <c r="B49" s="314">
        <v>14</v>
      </c>
      <c r="C49" s="355"/>
      <c r="D49" s="366">
        <v>0.36</v>
      </c>
      <c r="E49" s="334">
        <v>0.05</v>
      </c>
      <c r="F49" s="334">
        <v>0.33</v>
      </c>
      <c r="G49" s="322">
        <v>0.1</v>
      </c>
      <c r="H49" s="335">
        <v>9.83</v>
      </c>
      <c r="I49" s="339">
        <v>39.5</v>
      </c>
      <c r="J49" s="365">
        <v>6.54</v>
      </c>
      <c r="K49" s="375"/>
      <c r="L49" s="330">
        <f t="shared" si="7"/>
        <v>9.1236800000000002</v>
      </c>
      <c r="M49" s="316">
        <f>(D49-(Y49*'Table S-1a'!$AV$17)-('Table S-1a'!$AW$17*Z49))/AA49</f>
        <v>0.41109464602002699</v>
      </c>
      <c r="N49" s="316">
        <f>$E49*(M49-'Table S-1a'!$AV$17)/($D49-'Table S-1a'!$AV$17)*(1/AA49)</f>
        <v>5.8041275895127128E-2</v>
      </c>
      <c r="O49" s="331">
        <f t="shared" si="8"/>
        <v>38.721740000000004</v>
      </c>
      <c r="P49" s="316">
        <f>(F49-(AB49*'Table S-1a'!$AX$17))/AC49</f>
        <v>0.33663259967139908</v>
      </c>
      <c r="Q49" s="316">
        <f>$G49*(P49-'Table S-1a'!$AX$17)/($F49-'Table S-1a'!$AX$17)*(1/AC49)</f>
        <v>0.10406015350002243</v>
      </c>
      <c r="R49" s="315">
        <f>(H49/(J49*10000)*1000000)/'Table S-1a'!$AX$16</f>
        <v>12.630740369542313</v>
      </c>
      <c r="S49" s="315">
        <f>(I49/(J49*10000)*1000000)/'Table S-1a'!$AV$16</f>
        <v>55.923660663721826</v>
      </c>
      <c r="T49" s="377">
        <f t="shared" si="9"/>
        <v>4.4275837383670549</v>
      </c>
      <c r="U49" s="373"/>
      <c r="V49" s="330">
        <f t="shared" si="10"/>
        <v>1.5030581039755351</v>
      </c>
      <c r="W49" s="377">
        <f t="shared" si="11"/>
        <v>6.0397553516819569</v>
      </c>
      <c r="X49" s="380"/>
      <c r="Y49" s="332">
        <f>('Table S-1a'!AV$16*(J49/100))/H49</f>
        <v>7.1853509664292992E-2</v>
      </c>
      <c r="Z49" s="332">
        <f>('Table S-1a'!AW$16*(K49/100))/H49</f>
        <v>0</v>
      </c>
      <c r="AA49" s="332">
        <f t="shared" si="12"/>
        <v>0.92814649033570706</v>
      </c>
      <c r="AB49" s="332">
        <f>('Table S-1a'!AX$16*(J49/100))/I49</f>
        <v>1.9702784810126585E-2</v>
      </c>
      <c r="AC49" s="383">
        <f t="shared" si="13"/>
        <v>0.98029721518987345</v>
      </c>
    </row>
    <row r="50" spans="1:32">
      <c r="B50" s="314">
        <v>15</v>
      </c>
      <c r="C50" s="355"/>
      <c r="D50" s="366">
        <v>0.33</v>
      </c>
      <c r="E50" s="334">
        <v>0.05</v>
      </c>
      <c r="F50" s="334">
        <v>0.13</v>
      </c>
      <c r="G50" s="322">
        <v>0.1</v>
      </c>
      <c r="H50" s="335">
        <v>8.4700000000000006</v>
      </c>
      <c r="I50" s="339">
        <v>33</v>
      </c>
      <c r="J50" s="365">
        <v>6.71</v>
      </c>
      <c r="K50" s="375"/>
      <c r="L50" s="330">
        <f t="shared" si="7"/>
        <v>7.7453200000000004</v>
      </c>
      <c r="M50" s="316">
        <f>(D50-(Y50*'Table S-1a'!$AV$17)-('Table S-1a'!$AW$17*Z50))/AA50</f>
        <v>0.38894506618190083</v>
      </c>
      <c r="N50" s="316">
        <f>$E50*(M50-'Table S-1a'!$AV$17)/($D50-'Table S-1a'!$AV$17)*(1/AA50)</f>
        <v>5.9794067046659578E-2</v>
      </c>
      <c r="O50" s="331">
        <f t="shared" si="8"/>
        <v>32.201509999999999</v>
      </c>
      <c r="P50" s="316">
        <f>(F50-(AB50*'Table S-1a'!$AX$17))/AC50</f>
        <v>0.13322356622406836</v>
      </c>
      <c r="Q50" s="316">
        <f>$G50*(P50-'Table S-1a'!$AX$17)/($F50-'Table S-1a'!$AX$17)*(1/AC50)</f>
        <v>0.1050208201033061</v>
      </c>
      <c r="R50" s="315">
        <f>(H50/(J50*10000)*1000000)/'Table S-1a'!$AX$16</f>
        <v>10.607521697203472</v>
      </c>
      <c r="S50" s="315">
        <f>(I50/(J50*10000)*1000000)/'Table S-1a'!$AV$16</f>
        <v>45.537340619307827</v>
      </c>
      <c r="T50" s="377">
        <f t="shared" si="9"/>
        <v>4.2929292929292924</v>
      </c>
      <c r="U50" s="373"/>
      <c r="V50" s="330">
        <f t="shared" si="10"/>
        <v>1.2622950819672132</v>
      </c>
      <c r="W50" s="377">
        <f t="shared" si="11"/>
        <v>4.918032786885246</v>
      </c>
      <c r="X50" s="380"/>
      <c r="Y50" s="332">
        <f>('Table S-1a'!AV$16*(J50/100))/H50</f>
        <v>8.5558441558441556E-2</v>
      </c>
      <c r="Z50" s="332">
        <f>('Table S-1a'!AW$16*(K50/100))/H50</f>
        <v>0</v>
      </c>
      <c r="AA50" s="332">
        <f t="shared" si="12"/>
        <v>0.91444155844155839</v>
      </c>
      <c r="AB50" s="332">
        <f>('Table S-1a'!AX$16*(J50/100))/I50</f>
        <v>2.4196666666666665E-2</v>
      </c>
      <c r="AC50" s="383">
        <f t="shared" si="13"/>
        <v>0.97580333333333336</v>
      </c>
    </row>
    <row r="51" spans="1:32">
      <c r="B51" s="314">
        <v>16</v>
      </c>
      <c r="C51" s="355"/>
      <c r="D51" s="366">
        <v>0.34</v>
      </c>
      <c r="E51" s="334">
        <v>0.05</v>
      </c>
      <c r="F51" s="334">
        <v>0.11</v>
      </c>
      <c r="G51" s="322">
        <v>0.1</v>
      </c>
      <c r="H51" s="335">
        <v>8.44</v>
      </c>
      <c r="I51" s="339">
        <v>40.700000000000003</v>
      </c>
      <c r="J51" s="365">
        <v>7.38</v>
      </c>
      <c r="K51" s="375"/>
      <c r="L51" s="330">
        <f t="shared" si="7"/>
        <v>7.6429599999999995</v>
      </c>
      <c r="M51" s="316">
        <f>(D51-(Y51*'Table S-1a'!$AV$17)-('Table S-1a'!$AW$17*Z51))/AA51</f>
        <v>0.40674189057642596</v>
      </c>
      <c r="N51" s="316">
        <f>$E51*(M51-'Table S-1a'!$AV$17)/($D51-'Table S-1a'!$AV$17)*(1/AA51)</f>
        <v>6.0972180163029889E-2</v>
      </c>
      <c r="O51" s="331">
        <f t="shared" si="8"/>
        <v>39.821780000000004</v>
      </c>
      <c r="P51" s="316">
        <f>(F51-(AB51*'Table S-1a'!$AX$17))/AC51</f>
        <v>0.11242591365830458</v>
      </c>
      <c r="Q51" s="316">
        <f>$G51*(P51-'Table S-1a'!$AX$17)/($F51-'Table S-1a'!$AX$17)*(1/AC51)</f>
        <v>0.10445938894135999</v>
      </c>
      <c r="R51" s="315">
        <f>(H51/(J51*10000)*1000000)/'Table S-1a'!$AX$16</f>
        <v>9.6103482043223796</v>
      </c>
      <c r="S51" s="315">
        <f>(I51/(J51*10000)*1000000)/'Table S-1a'!$AV$16</f>
        <v>51.063936565291577</v>
      </c>
      <c r="T51" s="377">
        <f t="shared" si="9"/>
        <v>5.313432508337721</v>
      </c>
      <c r="U51" s="373"/>
      <c r="V51" s="330">
        <f t="shared" si="10"/>
        <v>1.1436314363143631</v>
      </c>
      <c r="W51" s="377">
        <f t="shared" si="11"/>
        <v>5.5149051490514909</v>
      </c>
      <c r="X51" s="380"/>
      <c r="Y51" s="332">
        <f>('Table S-1a'!AV$16*(J51/100))/H51</f>
        <v>9.4436018957345991E-2</v>
      </c>
      <c r="Z51" s="332">
        <f>('Table S-1a'!AW$16*(K51/100))/H51</f>
        <v>0</v>
      </c>
      <c r="AA51" s="332">
        <f t="shared" si="12"/>
        <v>0.90556398104265401</v>
      </c>
      <c r="AB51" s="332">
        <f>('Table S-1a'!AX$16*(J51/100))/I51</f>
        <v>2.1577886977886981E-2</v>
      </c>
      <c r="AC51" s="383">
        <f t="shared" si="13"/>
        <v>0.97842211302211302</v>
      </c>
    </row>
    <row r="52" spans="1:32">
      <c r="B52" s="314">
        <v>39</v>
      </c>
      <c r="C52" s="355"/>
      <c r="D52" s="366">
        <v>0.01</v>
      </c>
      <c r="E52" s="334">
        <v>0.05</v>
      </c>
      <c r="F52" s="334">
        <v>0.36</v>
      </c>
      <c r="G52" s="322">
        <v>0.1</v>
      </c>
      <c r="H52" s="335">
        <v>5.53</v>
      </c>
      <c r="I52" s="339">
        <v>9.6999999999999993</v>
      </c>
      <c r="J52" s="365">
        <v>4.51</v>
      </c>
      <c r="K52" s="375"/>
      <c r="L52" s="330">
        <f t="shared" si="7"/>
        <v>5.0429200000000005</v>
      </c>
      <c r="M52" s="316">
        <f>(D52-(Y52*'Table S-1a'!$AV$17)-('Table S-1a'!$AW$17*Z52))/AA52</f>
        <v>3.9941938400767811E-2</v>
      </c>
      <c r="N52" s="316">
        <f>$E52*(M52-'Table S-1a'!$AV$17)/($D52-'Table S-1a'!$AV$17)*(1/AA52)</f>
        <v>6.0125141250609491E-2</v>
      </c>
      <c r="O52" s="331">
        <f t="shared" si="8"/>
        <v>9.1633099999999992</v>
      </c>
      <c r="P52" s="316">
        <f>(F52-(AB52*'Table S-1a'!$AX$17))/AC52</f>
        <v>0.38108500094398201</v>
      </c>
      <c r="Q52" s="316">
        <f>$G52*(P52-'Table S-1a'!$AX$17)/($F52-'Table S-1a'!$AX$17)*(1/AC52)</f>
        <v>0.11205692742629227</v>
      </c>
      <c r="R52" s="315">
        <f>(H52/(J52*10000)*1000000)/'Table S-1a'!$AX$16</f>
        <v>10.303899830442155</v>
      </c>
      <c r="S52" s="315">
        <f>(I52/(J52*10000)*1000000)/'Table S-1a'!$AV$16</f>
        <v>19.914593085324789</v>
      </c>
      <c r="T52" s="377">
        <f t="shared" si="9"/>
        <v>1.9327238631036094</v>
      </c>
      <c r="U52" s="373"/>
      <c r="V52" s="330">
        <f t="shared" si="10"/>
        <v>1.2261640798226165</v>
      </c>
      <c r="W52" s="377">
        <f t="shared" si="11"/>
        <v>2.1507760532150777</v>
      </c>
      <c r="X52" s="380"/>
      <c r="Y52" s="332">
        <f>('Table S-1a'!AV$16*(J52/100))/H52</f>
        <v>8.8079566003616647E-2</v>
      </c>
      <c r="Z52" s="332">
        <f>('Table S-1a'!AW$16*(K52/100))/H52</f>
        <v>0</v>
      </c>
      <c r="AA52" s="332">
        <f t="shared" si="12"/>
        <v>0.91192043399638334</v>
      </c>
      <c r="AB52" s="332">
        <f>('Table S-1a'!AX$16*(J52/100))/I52</f>
        <v>5.5328865979381449E-2</v>
      </c>
      <c r="AC52" s="383">
        <f t="shared" si="13"/>
        <v>0.94467113402061853</v>
      </c>
    </row>
    <row r="53" spans="1:32">
      <c r="B53" s="314">
        <v>40</v>
      </c>
      <c r="C53" s="355"/>
      <c r="D53" s="366">
        <v>0.12</v>
      </c>
      <c r="E53" s="334">
        <v>0.05</v>
      </c>
      <c r="F53" s="334">
        <v>0.38</v>
      </c>
      <c r="G53" s="322">
        <v>0.1</v>
      </c>
      <c r="H53" s="335">
        <v>6.29</v>
      </c>
      <c r="I53" s="339">
        <v>10.5</v>
      </c>
      <c r="J53" s="365">
        <v>5.0999999999999996</v>
      </c>
      <c r="K53" s="375"/>
      <c r="L53" s="330">
        <f t="shared" si="7"/>
        <v>5.7392000000000003</v>
      </c>
      <c r="M53" s="316">
        <f>(D53-(Y53*'Table S-1a'!$AV$17)-('Table S-1a'!$AW$17*Z53))/AA53</f>
        <v>0.16030805687203789</v>
      </c>
      <c r="N53" s="316">
        <f>$E53*(M53-'Table S-1a'!$AV$17)/($D53-'Table S-1a'!$AV$17)*(1/AA53)</f>
        <v>6.0057683452752635E-2</v>
      </c>
      <c r="O53" s="331">
        <f t="shared" si="8"/>
        <v>9.8931000000000004</v>
      </c>
      <c r="P53" s="316">
        <f>(F53-(AB53*'Table S-1a'!$AX$17))/AC53</f>
        <v>0.40331139885374656</v>
      </c>
      <c r="Q53" s="316">
        <f>$G53*(P53-'Table S-1a'!$AX$17)/($F53-'Table S-1a'!$AX$17)*(1/AC53)</f>
        <v>0.11264548784305115</v>
      </c>
      <c r="R53" s="315">
        <f>(H53/(J53*10000)*1000000)/'Table S-1a'!$AX$16</f>
        <v>10.364145658263306</v>
      </c>
      <c r="S53" s="315">
        <f>(I53/(J53*10000)*1000000)/'Table S-1a'!$AV$16</f>
        <v>19.063180827886711</v>
      </c>
      <c r="T53" s="377">
        <f t="shared" si="9"/>
        <v>1.8393393393393394</v>
      </c>
      <c r="U53" s="373"/>
      <c r="V53" s="330">
        <f t="shared" si="10"/>
        <v>1.2333333333333334</v>
      </c>
      <c r="W53" s="377">
        <f t="shared" si="11"/>
        <v>2.0588235294117649</v>
      </c>
      <c r="X53" s="380"/>
      <c r="Y53" s="332">
        <f>('Table S-1a'!AV$16*(J53/100))/H53</f>
        <v>8.7567567567567561E-2</v>
      </c>
      <c r="Z53" s="332">
        <f>('Table S-1a'!AW$16*(K53/100))/H53</f>
        <v>0</v>
      </c>
      <c r="AA53" s="332">
        <f t="shared" si="12"/>
        <v>0.91243243243243244</v>
      </c>
      <c r="AB53" s="332">
        <f>('Table S-1a'!AX$16*(J53/100))/I53</f>
        <v>5.7799999999999997E-2</v>
      </c>
      <c r="AC53" s="383">
        <f t="shared" si="13"/>
        <v>0.94220000000000004</v>
      </c>
    </row>
    <row r="54" spans="1:32">
      <c r="B54" s="314">
        <v>41</v>
      </c>
      <c r="C54" s="355"/>
      <c r="D54" s="366">
        <v>0.2</v>
      </c>
      <c r="E54" s="334">
        <v>0.05</v>
      </c>
      <c r="F54" s="334">
        <v>0.5</v>
      </c>
      <c r="G54" s="322">
        <v>0.1</v>
      </c>
      <c r="H54" s="335">
        <v>8.1300000000000008</v>
      </c>
      <c r="I54" s="339">
        <v>25.5</v>
      </c>
      <c r="J54" s="365">
        <v>5.74</v>
      </c>
      <c r="K54" s="375"/>
      <c r="L54" s="330">
        <f t="shared" si="7"/>
        <v>7.5100800000000012</v>
      </c>
      <c r="M54" s="316">
        <f>(D54-(Y54*'Table S-1a'!$AV$17)-('Table S-1a'!$AW$17*Z54))/AA54</f>
        <v>0.24127252972005622</v>
      </c>
      <c r="N54" s="316">
        <f>$E54*(M54-'Table S-1a'!$AV$17)/($D54-'Table S-1a'!$AV$17)*(1/AA54)</f>
        <v>5.8595190285909836E-2</v>
      </c>
      <c r="O54" s="331">
        <f t="shared" si="8"/>
        <v>24.816940000000002</v>
      </c>
      <c r="P54" s="316">
        <f>(F54-(AB54*'Table S-1a'!$AX$17))/AC54</f>
        <v>0.51376197065391627</v>
      </c>
      <c r="Q54" s="316">
        <f>$G54*(P54-'Table S-1a'!$AX$17)/($F54-'Table S-1a'!$AX$17)*(1/AC54)</f>
        <v>0.1055805449960782</v>
      </c>
      <c r="R54" s="315">
        <f>(H54/(J54*10000)*1000000)/'Table S-1a'!$AX$16</f>
        <v>11.902321904371505</v>
      </c>
      <c r="S54" s="315">
        <f>(I54/(J54*10000)*1000000)/'Table S-1a'!$AV$16</f>
        <v>41.134339914827713</v>
      </c>
      <c r="T54" s="377">
        <f t="shared" si="9"/>
        <v>3.4559928932622652</v>
      </c>
      <c r="U54" s="373"/>
      <c r="V54" s="330">
        <f t="shared" si="10"/>
        <v>1.4163763066202091</v>
      </c>
      <c r="W54" s="377">
        <f t="shared" si="11"/>
        <v>4.4425087108013939</v>
      </c>
      <c r="X54" s="380"/>
      <c r="Y54" s="332">
        <f>('Table S-1a'!AV$16*(J54/100))/H54</f>
        <v>7.6250922509225091E-2</v>
      </c>
      <c r="Z54" s="332">
        <f>('Table S-1a'!AW$16*(K54/100))/H54</f>
        <v>0</v>
      </c>
      <c r="AA54" s="332">
        <f t="shared" si="12"/>
        <v>0.92374907749077495</v>
      </c>
      <c r="AB54" s="332">
        <f>('Table S-1a'!AX$16*(J54/100))/I54</f>
        <v>2.6786666666666667E-2</v>
      </c>
      <c r="AC54" s="383">
        <f t="shared" si="13"/>
        <v>0.97321333333333337</v>
      </c>
    </row>
    <row r="55" spans="1:32">
      <c r="B55" s="314">
        <v>42</v>
      </c>
      <c r="C55" s="355"/>
      <c r="D55" s="366">
        <v>0.24</v>
      </c>
      <c r="E55" s="334">
        <v>0.05</v>
      </c>
      <c r="F55" s="334">
        <v>0.28000000000000003</v>
      </c>
      <c r="G55" s="322">
        <v>0.1</v>
      </c>
      <c r="H55" s="335">
        <v>4.8899999999999997</v>
      </c>
      <c r="I55" s="339">
        <v>17.399999999999999</v>
      </c>
      <c r="J55" s="365">
        <v>4.42</v>
      </c>
      <c r="K55" s="375"/>
      <c r="L55" s="330">
        <f t="shared" si="7"/>
        <v>4.4126399999999997</v>
      </c>
      <c r="M55" s="316">
        <f>(D55-(Y55*'Table S-1a'!$AV$17)-('Table S-1a'!$AW$17*Z55))/AA55</f>
        <v>0.29841727401283591</v>
      </c>
      <c r="N55" s="316">
        <f>$E55*(M55-'Table S-1a'!$AV$17)/($D55-'Table S-1a'!$AV$17)*(1/AA55)</f>
        <v>6.1403160808805472E-2</v>
      </c>
      <c r="O55" s="331">
        <f t="shared" si="8"/>
        <v>16.874019999999998</v>
      </c>
      <c r="P55" s="316">
        <f>(F55-(AB55*'Table S-1a'!$AX$17))/AC55</f>
        <v>0.2887278787153269</v>
      </c>
      <c r="Q55" s="316">
        <f>$G55*(P55-'Table S-1a'!$AX$17)/($F55-'Table S-1a'!$AX$17)*(1/AC55)</f>
        <v>0.10633136217787309</v>
      </c>
      <c r="R55" s="315">
        <f>(H55/(J55*10000)*1000000)/'Table S-1a'!$AX$16</f>
        <v>9.2969314422601599</v>
      </c>
      <c r="S55" s="315">
        <f>(I55/(J55*10000)*1000000)/'Table S-1a'!$AV$16</f>
        <v>36.450477626948214</v>
      </c>
      <c r="T55" s="377">
        <f t="shared" si="9"/>
        <v>3.9206998409452405</v>
      </c>
      <c r="U55" s="373"/>
      <c r="V55" s="330">
        <f t="shared" si="10"/>
        <v>1.1063348416289591</v>
      </c>
      <c r="W55" s="377">
        <f t="shared" si="11"/>
        <v>3.936651583710407</v>
      </c>
      <c r="X55" s="380"/>
      <c r="Y55" s="332">
        <f>('Table S-1a'!AV$16*(J55/100))/H55</f>
        <v>9.7619631901840503E-2</v>
      </c>
      <c r="Z55" s="332">
        <f>('Table S-1a'!AW$16*(K55/100))/H55</f>
        <v>0</v>
      </c>
      <c r="AA55" s="332">
        <f t="shared" si="12"/>
        <v>0.90238036809815947</v>
      </c>
      <c r="AB55" s="332">
        <f>('Table S-1a'!AX$16*(J55/100))/I55</f>
        <v>3.0228735632183909E-2</v>
      </c>
      <c r="AC55" s="383">
        <f t="shared" si="13"/>
        <v>0.96977126436781613</v>
      </c>
    </row>
    <row r="56" spans="1:32">
      <c r="B56" s="314">
        <v>43</v>
      </c>
      <c r="C56" s="355"/>
      <c r="D56" s="366">
        <v>0.15</v>
      </c>
      <c r="E56" s="334">
        <v>0.05</v>
      </c>
      <c r="F56" s="334">
        <v>0.23</v>
      </c>
      <c r="G56" s="322">
        <v>0.1</v>
      </c>
      <c r="H56" s="335">
        <v>4.7699999999999996</v>
      </c>
      <c r="I56" s="339">
        <v>21.6</v>
      </c>
      <c r="J56" s="365">
        <v>3.88</v>
      </c>
      <c r="K56" s="375"/>
      <c r="L56" s="330">
        <f t="shared" si="7"/>
        <v>4.3509599999999997</v>
      </c>
      <c r="M56" s="316">
        <f>(D56-(Y56*'Table S-1a'!$AV$17)-('Table S-1a'!$AW$17*Z56))/AA56</f>
        <v>0.19333940095978822</v>
      </c>
      <c r="N56" s="316">
        <f>$E56*(M56-'Table S-1a'!$AV$17)/($D56-'Table S-1a'!$AV$17)*(1/AA56)</f>
        <v>6.0094756676385863E-2</v>
      </c>
      <c r="O56" s="331">
        <f t="shared" si="8"/>
        <v>21.138280000000002</v>
      </c>
      <c r="P56" s="316">
        <f>(F56-(AB56*'Table S-1a'!$AX$17))/AC56</f>
        <v>0.2350238524610328</v>
      </c>
      <c r="Q56" s="316">
        <f>$G56*(P56-'Table S-1a'!$AX$17)/($F56-'Table S-1a'!$AX$17)*(1/AC56)</f>
        <v>0.10441627830931061</v>
      </c>
      <c r="R56" s="315">
        <f>(H56/(J56*10000)*1000000)/'Table S-1a'!$AX$16</f>
        <v>10.330936498310662</v>
      </c>
      <c r="S56" s="315">
        <f>(I56/(J56*10000)*1000000)/'Table S-1a'!$AV$16</f>
        <v>51.546391752577314</v>
      </c>
      <c r="T56" s="377">
        <f t="shared" si="9"/>
        <v>4.9895178197065002</v>
      </c>
      <c r="U56" s="373"/>
      <c r="V56" s="330">
        <f t="shared" si="10"/>
        <v>1.2293814432989689</v>
      </c>
      <c r="W56" s="377">
        <f t="shared" si="11"/>
        <v>5.5670103092783512</v>
      </c>
      <c r="X56" s="380"/>
      <c r="Y56" s="332">
        <f>('Table S-1a'!AV$16*(J56/100))/H56</f>
        <v>8.7849056603773595E-2</v>
      </c>
      <c r="Z56" s="332">
        <f>('Table S-1a'!AW$16*(K56/100))/H56</f>
        <v>0</v>
      </c>
      <c r="AA56" s="332">
        <f t="shared" si="12"/>
        <v>0.91215094339622638</v>
      </c>
      <c r="AB56" s="332">
        <f>('Table S-1a'!AX$16*(J56/100))/I56</f>
        <v>2.1375925925925927E-2</v>
      </c>
      <c r="AC56" s="383">
        <f t="shared" si="13"/>
        <v>0.97862407407407404</v>
      </c>
    </row>
    <row r="57" spans="1:32">
      <c r="B57" s="314">
        <v>44</v>
      </c>
      <c r="C57" s="355"/>
      <c r="D57" s="366">
        <v>0.25</v>
      </c>
      <c r="E57" s="334">
        <v>0.05</v>
      </c>
      <c r="F57" s="334">
        <v>0.04</v>
      </c>
      <c r="G57" s="322">
        <v>0.1</v>
      </c>
      <c r="H57" s="335">
        <v>4.79</v>
      </c>
      <c r="I57" s="339">
        <v>15.5</v>
      </c>
      <c r="J57" s="365">
        <v>4.16</v>
      </c>
      <c r="K57" s="375"/>
      <c r="L57" s="330">
        <f t="shared" si="7"/>
        <v>4.3407200000000001</v>
      </c>
      <c r="M57" s="316">
        <f>(D57-(Y57*'Table S-1a'!$AV$17)-('Table S-1a'!$AW$17*Z57))/AA57</f>
        <v>0.30692696142575421</v>
      </c>
      <c r="N57" s="316">
        <f>$E57*(M57-'Table S-1a'!$AV$17)/($D57-'Table S-1a'!$AV$17)*(1/AA57)</f>
        <v>6.0886006033966766E-2</v>
      </c>
      <c r="O57" s="331">
        <f t="shared" si="8"/>
        <v>15.004960000000001</v>
      </c>
      <c r="P57" s="316">
        <f>(F57-(AB57*'Table S-1a'!$AX$17))/AC57</f>
        <v>4.1319670295688893E-2</v>
      </c>
      <c r="Q57" s="316">
        <f>$G57*(P57-'Table S-1a'!$AX$17)/($F57-'Table S-1a'!$AX$17)*(1/AC57)</f>
        <v>0.10670719708402718</v>
      </c>
      <c r="R57" s="315">
        <f>(H57/(J57*10000)*1000000)/'Table S-1a'!$AX$16</f>
        <v>9.6759857789269557</v>
      </c>
      <c r="S57" s="315">
        <f>(I57/(J57*10000)*1000000)/'Table S-1a'!$AV$16</f>
        <v>34.499643874643873</v>
      </c>
      <c r="T57" s="377">
        <f t="shared" si="9"/>
        <v>3.5654913786437792</v>
      </c>
      <c r="U57" s="373"/>
      <c r="V57" s="330">
        <f t="shared" si="10"/>
        <v>1.1514423076923077</v>
      </c>
      <c r="W57" s="377">
        <f t="shared" si="11"/>
        <v>3.7259615384615383</v>
      </c>
      <c r="X57" s="380"/>
      <c r="Y57" s="332">
        <f>('Table S-1a'!AV$16*(J57/100))/H57</f>
        <v>9.3795407098121092E-2</v>
      </c>
      <c r="Z57" s="332">
        <f>('Table S-1a'!AW$16*(K57/100))/H57</f>
        <v>0</v>
      </c>
      <c r="AA57" s="332">
        <f t="shared" si="12"/>
        <v>0.90620459290187894</v>
      </c>
      <c r="AB57" s="332">
        <f>('Table S-1a'!AX$16*(J57/100))/I57</f>
        <v>3.1938064516129031E-2</v>
      </c>
      <c r="AC57" s="383">
        <f t="shared" si="13"/>
        <v>0.96806193548387098</v>
      </c>
    </row>
    <row r="58" spans="1:32">
      <c r="B58" s="314">
        <v>45</v>
      </c>
      <c r="C58" s="355"/>
      <c r="D58" s="366">
        <v>-0.12</v>
      </c>
      <c r="E58" s="334">
        <v>0.05</v>
      </c>
      <c r="F58" s="334">
        <v>0.92</v>
      </c>
      <c r="G58" s="322">
        <v>0.1</v>
      </c>
      <c r="H58" s="335">
        <v>1.62</v>
      </c>
      <c r="I58" s="339">
        <v>4.5999999999999996</v>
      </c>
      <c r="J58" s="365">
        <v>6.76</v>
      </c>
      <c r="K58" s="375"/>
      <c r="L58" s="330"/>
      <c r="M58" s="316"/>
      <c r="N58" s="316"/>
      <c r="O58" s="331"/>
      <c r="P58" s="316"/>
      <c r="Q58" s="316"/>
      <c r="R58" s="315"/>
      <c r="S58" s="315"/>
      <c r="T58" s="377"/>
      <c r="U58" s="373"/>
      <c r="V58" s="330">
        <f t="shared" si="10"/>
        <v>0.23964497041420121</v>
      </c>
      <c r="W58" s="377">
        <f t="shared" si="11"/>
        <v>0.68047337278106501</v>
      </c>
      <c r="X58" s="380"/>
      <c r="Y58" s="332">
        <f>('Table S-1a'!AV$16*(J58/100))/H58</f>
        <v>0.4506666666666666</v>
      </c>
      <c r="Z58" s="332">
        <f>('Table S-1a'!AW$16*(K58/100))/H58</f>
        <v>0</v>
      </c>
      <c r="AA58" s="332">
        <f t="shared" si="12"/>
        <v>0.54933333333333345</v>
      </c>
      <c r="AB58" s="332">
        <f>('Table S-1a'!AX$16*(J58/100))/I58</f>
        <v>0.17487826086956521</v>
      </c>
      <c r="AC58" s="383">
        <f t="shared" si="13"/>
        <v>0.82512173913043485</v>
      </c>
    </row>
    <row r="59" spans="1:32">
      <c r="C59" s="355"/>
      <c r="D59" s="359"/>
      <c r="E59" s="313"/>
      <c r="F59" s="340"/>
      <c r="G59" s="313"/>
      <c r="H59" s="341"/>
      <c r="I59" s="337"/>
      <c r="J59" s="367"/>
      <c r="K59" s="374"/>
      <c r="R59" s="313"/>
      <c r="S59" s="313"/>
      <c r="T59" s="358"/>
      <c r="U59" s="373"/>
      <c r="V59" s="313"/>
      <c r="W59" s="358"/>
      <c r="X59" s="380"/>
      <c r="Z59" s="321"/>
      <c r="AA59" s="321"/>
      <c r="AB59" s="321"/>
    </row>
    <row r="60" spans="1:32">
      <c r="C60" s="355"/>
      <c r="D60" s="359"/>
      <c r="E60" s="313"/>
      <c r="F60" s="313"/>
      <c r="G60" s="313"/>
      <c r="J60" s="355"/>
      <c r="K60" s="374"/>
      <c r="R60" s="313"/>
      <c r="S60" s="313"/>
      <c r="T60" s="358"/>
      <c r="U60" s="373"/>
      <c r="V60" s="313"/>
      <c r="W60" s="358"/>
      <c r="X60" s="380"/>
      <c r="Z60" s="321"/>
      <c r="AA60" s="321"/>
      <c r="AB60" s="321"/>
    </row>
    <row r="62" spans="1:32">
      <c r="A62" s="351" t="s">
        <v>88</v>
      </c>
      <c r="B62" s="325"/>
      <c r="C62" s="353"/>
      <c r="D62" s="357" t="s">
        <v>30</v>
      </c>
      <c r="E62" s="313"/>
      <c r="F62" s="313"/>
      <c r="G62" s="313"/>
      <c r="H62" s="312" t="s">
        <v>50</v>
      </c>
      <c r="I62" s="313"/>
      <c r="J62" s="358"/>
      <c r="K62" s="373"/>
      <c r="L62" s="311" t="s">
        <v>26</v>
      </c>
      <c r="M62" s="316"/>
      <c r="N62" s="316"/>
      <c r="O62" s="311" t="s">
        <v>28</v>
      </c>
      <c r="P62" s="316"/>
      <c r="Q62" s="316"/>
      <c r="S62" s="313"/>
      <c r="T62" s="358"/>
      <c r="U62" s="373"/>
      <c r="V62" s="313"/>
      <c r="W62" s="358"/>
      <c r="X62" s="380"/>
      <c r="Y62" s="313"/>
      <c r="Z62" s="313"/>
      <c r="AA62" s="312"/>
      <c r="AB62" s="317"/>
      <c r="AC62" s="382"/>
      <c r="AD62" s="326"/>
      <c r="AE62" s="319"/>
      <c r="AF62" s="319"/>
    </row>
    <row r="63" spans="1:32" ht="13.8">
      <c r="A63" s="386" t="s">
        <v>242</v>
      </c>
      <c r="B63" s="311"/>
      <c r="C63" s="354"/>
      <c r="D63" s="359" t="s">
        <v>224</v>
      </c>
      <c r="E63" s="313" t="s">
        <v>29</v>
      </c>
      <c r="F63" s="313" t="s">
        <v>225</v>
      </c>
      <c r="G63" s="315" t="s">
        <v>29</v>
      </c>
      <c r="H63" s="313" t="s">
        <v>31</v>
      </c>
      <c r="I63" s="313" t="s">
        <v>32</v>
      </c>
      <c r="J63" s="358" t="s">
        <v>52</v>
      </c>
      <c r="K63" s="373" t="s">
        <v>53</v>
      </c>
      <c r="L63" s="316" t="s">
        <v>58</v>
      </c>
      <c r="M63" s="316" t="s">
        <v>226</v>
      </c>
      <c r="N63" s="316" t="s">
        <v>27</v>
      </c>
      <c r="O63" s="316" t="s">
        <v>32</v>
      </c>
      <c r="P63" s="316" t="s">
        <v>225</v>
      </c>
      <c r="Q63" s="316" t="s">
        <v>27</v>
      </c>
      <c r="R63" s="313" t="s">
        <v>36</v>
      </c>
      <c r="S63" s="313" t="s">
        <v>37</v>
      </c>
      <c r="T63" s="358"/>
      <c r="U63" s="373"/>
      <c r="V63" s="313" t="s">
        <v>61</v>
      </c>
      <c r="W63" s="358" t="s">
        <v>63</v>
      </c>
      <c r="X63" s="380"/>
      <c r="Y63" s="318" t="s">
        <v>38</v>
      </c>
      <c r="Z63" s="318" t="s">
        <v>39</v>
      </c>
      <c r="AA63" s="319" t="s">
        <v>40</v>
      </c>
      <c r="AB63" s="318" t="s">
        <v>42</v>
      </c>
      <c r="AC63" s="382" t="s">
        <v>45</v>
      </c>
    </row>
    <row r="64" spans="1:32">
      <c r="B64" s="313" t="s">
        <v>24</v>
      </c>
      <c r="C64" s="354" t="s">
        <v>34</v>
      </c>
      <c r="D64" s="357" t="s">
        <v>66</v>
      </c>
      <c r="E64" s="313"/>
      <c r="F64" s="312" t="s">
        <v>86</v>
      </c>
      <c r="G64" s="315"/>
      <c r="H64" s="315" t="s">
        <v>51</v>
      </c>
      <c r="I64" s="313" t="s">
        <v>51</v>
      </c>
      <c r="J64" s="358" t="s">
        <v>33</v>
      </c>
      <c r="K64" s="373" t="s">
        <v>33</v>
      </c>
      <c r="L64" s="313" t="s">
        <v>51</v>
      </c>
      <c r="O64" s="313" t="s">
        <v>51</v>
      </c>
      <c r="R64" s="312" t="s">
        <v>55</v>
      </c>
      <c r="S64" s="312" t="s">
        <v>56</v>
      </c>
      <c r="T64" s="354"/>
      <c r="U64" s="379"/>
      <c r="V64" s="313" t="s">
        <v>62</v>
      </c>
      <c r="W64" s="358" t="s">
        <v>62</v>
      </c>
      <c r="X64" s="381"/>
      <c r="Y64" s="319"/>
      <c r="Z64" s="320" t="s">
        <v>57</v>
      </c>
      <c r="AA64" s="319"/>
      <c r="AB64" s="319"/>
      <c r="AC64" s="382"/>
    </row>
    <row r="65" spans="1:29">
      <c r="A65" s="351" t="s">
        <v>227</v>
      </c>
      <c r="C65" s="355"/>
      <c r="D65" s="359"/>
      <c r="E65" s="313"/>
      <c r="F65" s="313"/>
      <c r="G65" s="313"/>
      <c r="H65" s="321"/>
      <c r="I65" s="321"/>
      <c r="J65" s="355"/>
      <c r="K65" s="374"/>
      <c r="L65" s="330"/>
      <c r="M65" s="316"/>
      <c r="N65" s="316"/>
      <c r="O65" s="331"/>
      <c r="P65" s="316"/>
      <c r="Q65" s="316"/>
      <c r="R65" s="315"/>
      <c r="S65" s="315"/>
      <c r="T65" s="377"/>
      <c r="U65" s="373"/>
      <c r="V65" s="330"/>
      <c r="W65" s="377"/>
      <c r="X65" s="380"/>
      <c r="Y65" s="332"/>
      <c r="Z65" s="332"/>
      <c r="AA65" s="332"/>
      <c r="AB65" s="332"/>
      <c r="AC65" s="383"/>
    </row>
    <row r="66" spans="1:29">
      <c r="C66" s="355">
        <v>154.19999999999999</v>
      </c>
      <c r="D66" s="360">
        <v>0.2</v>
      </c>
      <c r="E66" s="334">
        <v>0.1</v>
      </c>
      <c r="F66" s="334">
        <v>0.2</v>
      </c>
      <c r="G66" s="322">
        <v>0.01</v>
      </c>
      <c r="H66" s="335">
        <v>89</v>
      </c>
      <c r="I66" s="336">
        <v>372</v>
      </c>
      <c r="J66" s="361">
        <v>5.6</v>
      </c>
      <c r="K66" s="375"/>
      <c r="L66" s="330">
        <f t="shared" ref="L66:L86" si="14">AA66*H66</f>
        <v>88.395200000000003</v>
      </c>
      <c r="M66" s="316">
        <f>(D66-(Y66*'Table S-1a'!$AV$17)-('Table S-1a'!$AW$17*Z66))/AA66</f>
        <v>0.20342100023530688</v>
      </c>
      <c r="N66" s="316">
        <f>$E66*(M66-'Table S-1a'!$AV$17)/($D66-'Table S-1a'!$AV$17)*(1/AA66)</f>
        <v>0.10137308139116676</v>
      </c>
      <c r="O66" s="331">
        <f t="shared" ref="O66:O86" si="15">I66*AC66</f>
        <v>371.33359999999999</v>
      </c>
      <c r="P66" s="316">
        <f>(F66-(AB66*'Table S-1a'!$AX$17))/AC66</f>
        <v>0.20035892254296409</v>
      </c>
      <c r="Q66" s="316">
        <f>$G66*(P66-'Table S-1a'!$AX$17)/($F66-'Table S-1a'!$AX$17)*(1/AC66)</f>
        <v>1.0035924460644368E-2</v>
      </c>
      <c r="R66" s="315">
        <f>(H66/(J66*10000)*1000000)/'Table S-1a'!$AX$16</f>
        <v>133.55342136854742</v>
      </c>
      <c r="S66" s="315">
        <f>(I66/(J66*10000)*1000000)/'Table S-1a'!$AV$16</f>
        <v>615.07936507936506</v>
      </c>
      <c r="T66" s="377">
        <f t="shared" ref="T66:T86" si="16">S66/R66</f>
        <v>4.6054931335830211</v>
      </c>
      <c r="U66" s="373"/>
      <c r="V66" s="330">
        <f t="shared" ref="V66:V86" si="17">H66/J66</f>
        <v>15.892857142857144</v>
      </c>
      <c r="W66" s="377">
        <f t="shared" ref="W66:W86" si="18">I66/J66</f>
        <v>66.428571428571431</v>
      </c>
      <c r="X66" s="380"/>
      <c r="Y66" s="332">
        <f>('Table S-1a'!AV$16*(J66/100))/H66</f>
        <v>6.795505617977528E-3</v>
      </c>
      <c r="Z66" s="332">
        <f>('Table S-1a'!AW$16*(K66/100))/H66</f>
        <v>0</v>
      </c>
      <c r="AA66" s="332">
        <f t="shared" ref="AA66:AA86" si="19">1-(Y66+Z66)</f>
        <v>0.99320449438202252</v>
      </c>
      <c r="AB66" s="332">
        <f>('Table S-1a'!AX$16*(J66/100))/I66</f>
        <v>1.7913978494623656E-3</v>
      </c>
      <c r="AC66" s="383">
        <f t="shared" ref="AC66:AC86" si="20">1-(AB66)</f>
        <v>0.99820860215053764</v>
      </c>
    </row>
    <row r="67" spans="1:29">
      <c r="C67" s="355">
        <v>154</v>
      </c>
      <c r="D67" s="362">
        <v>-0.42</v>
      </c>
      <c r="E67" s="322">
        <v>0.09</v>
      </c>
      <c r="F67" s="322">
        <v>1.01</v>
      </c>
      <c r="G67" s="322">
        <v>0.08</v>
      </c>
      <c r="H67" s="323">
        <v>97</v>
      </c>
      <c r="I67" s="323">
        <v>181</v>
      </c>
      <c r="J67" s="361">
        <v>5.3</v>
      </c>
      <c r="K67" s="374"/>
      <c r="L67" s="330">
        <f t="shared" si="14"/>
        <v>96.427599999999998</v>
      </c>
      <c r="M67" s="316">
        <f>(D67-(Y67*'Table S-1a'!$AV$17)-('Table S-1a'!$AW$17*Z67))/AA67</f>
        <v>-0.42071232717603668</v>
      </c>
      <c r="N67" s="316">
        <f>$E67*(M67-'Table S-1a'!$AV$17)/($D67-'Table S-1a'!$AV$17)*(1/AA67)</f>
        <v>9.1071662076590815E-2</v>
      </c>
      <c r="O67" s="331">
        <f t="shared" si="15"/>
        <v>180.36930000000001</v>
      </c>
      <c r="P67" s="316">
        <f>(F67-(AB67*'Table S-1a'!$AX$17))/AC67</f>
        <v>1.0135316819436568</v>
      </c>
      <c r="Q67" s="316">
        <f>$G67*(P67-'Table S-1a'!$AX$17)/($F67-'Table S-1a'!$AX$17)*(1/AC67)</f>
        <v>8.0560452528460974E-2</v>
      </c>
      <c r="R67" s="315">
        <f>(H67/(J67*10000)*1000000)/'Table S-1a'!$AX$16</f>
        <v>153.7973680038053</v>
      </c>
      <c r="S67" s="315">
        <f>(I67/(J67*10000)*1000000)/'Table S-1a'!$AV$16</f>
        <v>316.2124388539483</v>
      </c>
      <c r="T67" s="377">
        <f t="shared" si="16"/>
        <v>2.056032836960672</v>
      </c>
      <c r="U67" s="373"/>
      <c r="V67" s="330">
        <f t="shared" si="17"/>
        <v>18.30188679245283</v>
      </c>
      <c r="W67" s="377">
        <f t="shared" si="18"/>
        <v>34.150943396226417</v>
      </c>
      <c r="X67" s="380"/>
      <c r="Y67" s="332">
        <f>('Table S-1a'!AV$16*(J67/100))/H67</f>
        <v>5.9010309278350517E-3</v>
      </c>
      <c r="Z67" s="332">
        <f>('Table S-1a'!AW$16*(K67/100))/H67</f>
        <v>0</v>
      </c>
      <c r="AA67" s="332">
        <f t="shared" si="19"/>
        <v>0.994098969072165</v>
      </c>
      <c r="AB67" s="332">
        <f>('Table S-1a'!AX$16*(J67/100))/I67</f>
        <v>3.4845303867403316E-3</v>
      </c>
      <c r="AC67" s="383">
        <f t="shared" si="20"/>
        <v>0.99651546961325965</v>
      </c>
    </row>
    <row r="68" spans="1:29">
      <c r="C68" s="355">
        <v>153.80000000000001</v>
      </c>
      <c r="D68" s="362">
        <v>0.27</v>
      </c>
      <c r="E68" s="322">
        <v>0.02</v>
      </c>
      <c r="F68" s="322">
        <v>1.4</v>
      </c>
      <c r="G68" s="322">
        <v>0.1</v>
      </c>
      <c r="H68" s="323">
        <v>18</v>
      </c>
      <c r="I68" s="323">
        <v>204</v>
      </c>
      <c r="J68" s="361">
        <v>3.5</v>
      </c>
      <c r="K68" s="374"/>
      <c r="L68" s="330">
        <f t="shared" si="14"/>
        <v>17.622</v>
      </c>
      <c r="M68" s="316">
        <f>(D68-(Y68*'Table S-1a'!$AV$17)-('Table S-1a'!$AW$17*Z68))/AA68</f>
        <v>0.28222676200204294</v>
      </c>
      <c r="N68" s="316">
        <f>$E68*(M68-'Table S-1a'!$AV$17)/($D68-'Table S-1a'!$AV$17)*(1/AA68)</f>
        <v>2.0867220830494516E-2</v>
      </c>
      <c r="O68" s="331">
        <f t="shared" si="15"/>
        <v>203.58349999999999</v>
      </c>
      <c r="P68" s="316">
        <f>(F68-(AB68*'Table S-1a'!$AX$17))/AC68</f>
        <v>1.4028641810362823</v>
      </c>
      <c r="Q68" s="316">
        <f>$G68*(P68-'Table S-1a'!$AX$17)/($F68-'Table S-1a'!$AX$17)*(1/AC68)</f>
        <v>0.10040958726707142</v>
      </c>
      <c r="R68" s="315">
        <f>(H68/(J68*10000)*1000000)/'Table S-1a'!$AX$16</f>
        <v>43.217286914765907</v>
      </c>
      <c r="S68" s="315">
        <f>(I68/(J68*10000)*1000000)/'Table S-1a'!$AV$16</f>
        <v>539.68253968253964</v>
      </c>
      <c r="T68" s="377">
        <f t="shared" si="16"/>
        <v>12.487654320987653</v>
      </c>
      <c r="U68" s="373"/>
      <c r="V68" s="330">
        <f t="shared" si="17"/>
        <v>5.1428571428571432</v>
      </c>
      <c r="W68" s="377">
        <f t="shared" si="18"/>
        <v>58.285714285714285</v>
      </c>
      <c r="X68" s="380"/>
      <c r="Y68" s="332">
        <f>('Table S-1a'!AV$16*(J68/100))/H68</f>
        <v>2.1000000000000005E-2</v>
      </c>
      <c r="Z68" s="332">
        <f>('Table S-1a'!AW$16*(K68/100))/H68</f>
        <v>0</v>
      </c>
      <c r="AA68" s="332">
        <f t="shared" si="19"/>
        <v>0.97899999999999998</v>
      </c>
      <c r="AB68" s="332">
        <f>('Table S-1a'!AX$16*(J68/100))/I68</f>
        <v>2.0416666666666669E-3</v>
      </c>
      <c r="AC68" s="383">
        <f t="shared" si="20"/>
        <v>0.99795833333333328</v>
      </c>
    </row>
    <row r="69" spans="1:29">
      <c r="C69" s="355">
        <v>153.30000000000001</v>
      </c>
      <c r="D69" s="362">
        <v>0.24</v>
      </c>
      <c r="E69" s="322">
        <v>0.03</v>
      </c>
      <c r="F69" s="322">
        <v>2</v>
      </c>
      <c r="G69" s="322">
        <v>0.2</v>
      </c>
      <c r="H69" s="323">
        <v>30</v>
      </c>
      <c r="I69" s="323">
        <v>128</v>
      </c>
      <c r="J69" s="361">
        <v>5.2</v>
      </c>
      <c r="K69" s="374"/>
      <c r="L69" s="330">
        <f t="shared" si="14"/>
        <v>29.438400000000001</v>
      </c>
      <c r="M69" s="316">
        <f>(D69-(Y69*'Table S-1a'!$AV$17)-('Table S-1a'!$AW$17*Z69))/AA69</f>
        <v>0.25030164682863199</v>
      </c>
      <c r="N69" s="316">
        <f>$E69*(M69-'Table S-1a'!$AV$17)/($D69-'Table S-1a'!$AV$17)*(1/AA69)</f>
        <v>3.1155545524928427E-2</v>
      </c>
      <c r="O69" s="331">
        <f t="shared" si="15"/>
        <v>127.38120000000001</v>
      </c>
      <c r="P69" s="316">
        <f>(F69-(AB69*'Table S-1a'!$AX$17))/AC69</f>
        <v>2.0097157194311248</v>
      </c>
      <c r="Q69" s="316">
        <f>$G69*(P69-'Table S-1a'!$AX$17)/($F69-'Table S-1a'!$AX$17)*(1/AC69)</f>
        <v>0.20194786364642819</v>
      </c>
      <c r="R69" s="315">
        <f>(H69/(J69*10000)*1000000)/'Table S-1a'!$AX$16</f>
        <v>48.480930833872016</v>
      </c>
      <c r="S69" s="315">
        <f>(I69/(J69*10000)*1000000)/'Table S-1a'!$AV$16</f>
        <v>227.92022792022789</v>
      </c>
      <c r="T69" s="377">
        <f t="shared" si="16"/>
        <v>4.7012345679012331</v>
      </c>
      <c r="U69" s="373"/>
      <c r="V69" s="330">
        <f t="shared" si="17"/>
        <v>5.7692307692307692</v>
      </c>
      <c r="W69" s="377">
        <f t="shared" si="18"/>
        <v>24.615384615384613</v>
      </c>
      <c r="X69" s="380"/>
      <c r="Y69" s="332">
        <f>('Table S-1a'!AV$16*(J69/100))/H69</f>
        <v>1.8720000000000004E-2</v>
      </c>
      <c r="Z69" s="332">
        <f>('Table S-1a'!AW$16*(K69/100))/H69</f>
        <v>0</v>
      </c>
      <c r="AA69" s="332">
        <f t="shared" si="19"/>
        <v>0.98128000000000004</v>
      </c>
      <c r="AB69" s="332">
        <f>('Table S-1a'!AX$16*(J69/100))/I69</f>
        <v>4.834375000000001E-3</v>
      </c>
      <c r="AC69" s="383">
        <f t="shared" si="20"/>
        <v>0.99516562500000005</v>
      </c>
    </row>
    <row r="70" spans="1:29">
      <c r="C70" s="355">
        <v>153.19999999999999</v>
      </c>
      <c r="D70" s="362">
        <v>0.22</v>
      </c>
      <c r="E70" s="322">
        <v>7.0000000000000007E-2</v>
      </c>
      <c r="F70" s="322">
        <v>1.41</v>
      </c>
      <c r="G70" s="322">
        <v>0.13</v>
      </c>
      <c r="H70" s="323">
        <v>23</v>
      </c>
      <c r="I70" s="323">
        <v>123</v>
      </c>
      <c r="J70" s="361">
        <v>3.3</v>
      </c>
      <c r="K70" s="374"/>
      <c r="L70" s="330">
        <f t="shared" si="14"/>
        <v>22.643599999999999</v>
      </c>
      <c r="M70" s="316">
        <f>(D70-(Y70*'Table S-1a'!$AV$17)-('Table S-1a'!$AW$17*Z70))/AA70</f>
        <v>0.22818456429189704</v>
      </c>
      <c r="N70" s="316">
        <f>$E70*(M70-'Table S-1a'!$AV$17)/($D70-'Table S-1a'!$AV$17)*(1/AA70)</f>
        <v>7.2220877873282102E-2</v>
      </c>
      <c r="O70" s="331">
        <f t="shared" si="15"/>
        <v>122.6073</v>
      </c>
      <c r="P70" s="316">
        <f>(F70-(AB70*'Table S-1a'!$AX$17))/AC70</f>
        <v>1.4145161014066863</v>
      </c>
      <c r="Q70" s="316">
        <f>$G70*(P70-'Table S-1a'!$AX$17)/($F70-'Table S-1a'!$AX$17)*(1/AC70)</f>
        <v>0.13083408990897852</v>
      </c>
      <c r="R70" s="315">
        <f>(H70/(J70*10000)*1000000)/'Table S-1a'!$AX$16</f>
        <v>58.568882098293862</v>
      </c>
      <c r="S70" s="315">
        <f>(I70/(J70*10000)*1000000)/'Table S-1a'!$AV$16</f>
        <v>345.11784511784509</v>
      </c>
      <c r="T70" s="377">
        <f t="shared" si="16"/>
        <v>5.8925120772946853</v>
      </c>
      <c r="U70" s="373"/>
      <c r="V70" s="330">
        <f t="shared" si="17"/>
        <v>6.9696969696969697</v>
      </c>
      <c r="W70" s="377">
        <f t="shared" si="18"/>
        <v>37.272727272727273</v>
      </c>
      <c r="X70" s="380"/>
      <c r="Y70" s="332">
        <f>('Table S-1a'!AV$16*(J70/100))/H70</f>
        <v>1.5495652173913046E-2</v>
      </c>
      <c r="Z70" s="332">
        <f>('Table S-1a'!AW$16*(K70/100))/H70</f>
        <v>0</v>
      </c>
      <c r="AA70" s="332">
        <f t="shared" si="19"/>
        <v>0.98450434782608698</v>
      </c>
      <c r="AB70" s="332">
        <f>('Table S-1a'!AX$16*(J70/100))/I70</f>
        <v>3.1926829268292688E-3</v>
      </c>
      <c r="AC70" s="383">
        <f t="shared" si="20"/>
        <v>0.99680731707317072</v>
      </c>
    </row>
    <row r="71" spans="1:29">
      <c r="C71" s="355">
        <v>153</v>
      </c>
      <c r="D71" s="362">
        <v>0.22</v>
      </c>
      <c r="E71" s="322">
        <v>0.04</v>
      </c>
      <c r="F71" s="322">
        <v>0.39</v>
      </c>
      <c r="G71" s="322">
        <v>7.0000000000000007E-2</v>
      </c>
      <c r="H71" s="323">
        <v>20</v>
      </c>
      <c r="I71" s="323">
        <v>171</v>
      </c>
      <c r="J71" s="361">
        <v>5.2</v>
      </c>
      <c r="K71" s="374"/>
      <c r="L71" s="330">
        <f t="shared" si="14"/>
        <v>19.438400000000001</v>
      </c>
      <c r="M71" s="316">
        <f>(D71-(Y71*'Table S-1a'!$AV$17)-('Table S-1a'!$AW$17*Z71))/AA71</f>
        <v>0.2350234587208824</v>
      </c>
      <c r="N71" s="316">
        <f>$E71*(M71-'Table S-1a'!$AV$17)/($D71-'Table S-1a'!$AV$17)*(1/AA71)</f>
        <v>4.2344689553499369E-2</v>
      </c>
      <c r="O71" s="331">
        <f t="shared" si="15"/>
        <v>170.38120000000001</v>
      </c>
      <c r="P71" s="316">
        <f>(F71-(AB71*'Table S-1a'!$AX$17))/AC71</f>
        <v>0.39141642387775177</v>
      </c>
      <c r="Q71" s="316">
        <f>$G71*(P71-'Table S-1a'!$AX$17)/($F71-'Table S-1a'!$AX$17)*(1/AC71)</f>
        <v>7.0509383180061475E-2</v>
      </c>
      <c r="R71" s="315">
        <f>(H71/(J71*10000)*1000000)/'Table S-1a'!$AX$16</f>
        <v>32.320620555914672</v>
      </c>
      <c r="S71" s="315">
        <f>(I71/(J71*10000)*1000000)/'Table S-1a'!$AV$16</f>
        <v>304.48717948717945</v>
      </c>
      <c r="T71" s="377">
        <f t="shared" si="16"/>
        <v>9.4208333333333325</v>
      </c>
      <c r="U71" s="373"/>
      <c r="V71" s="330">
        <f t="shared" si="17"/>
        <v>3.8461538461538458</v>
      </c>
      <c r="W71" s="377">
        <f t="shared" si="18"/>
        <v>32.884615384615387</v>
      </c>
      <c r="X71" s="380"/>
      <c r="Y71" s="332">
        <f>('Table S-1a'!AV$16*(J71/100))/H71</f>
        <v>2.8080000000000004E-2</v>
      </c>
      <c r="Z71" s="332">
        <f>('Table S-1a'!AW$16*(K71/100))/H71</f>
        <v>0</v>
      </c>
      <c r="AA71" s="332">
        <f t="shared" si="19"/>
        <v>0.97192000000000001</v>
      </c>
      <c r="AB71" s="332">
        <f>('Table S-1a'!AX$16*(J71/100))/I71</f>
        <v>3.6187134502923984E-3</v>
      </c>
      <c r="AC71" s="383">
        <f t="shared" si="20"/>
        <v>0.99638128654970759</v>
      </c>
    </row>
    <row r="72" spans="1:29">
      <c r="C72" s="355">
        <v>152.4</v>
      </c>
      <c r="D72" s="362">
        <v>0.27</v>
      </c>
      <c r="E72" s="322">
        <v>0.03</v>
      </c>
      <c r="F72" s="322">
        <v>-0.42</v>
      </c>
      <c r="G72" s="322">
        <v>0.13</v>
      </c>
      <c r="H72" s="323">
        <v>12</v>
      </c>
      <c r="I72" s="323">
        <v>94</v>
      </c>
      <c r="J72" s="361">
        <v>6.4</v>
      </c>
      <c r="K72" s="374"/>
      <c r="L72" s="330">
        <f t="shared" si="14"/>
        <v>11.3088</v>
      </c>
      <c r="M72" s="316">
        <f>(D72-(Y72*'Table S-1a'!$AV$17)-('Table S-1a'!$AW$17*Z72))/AA72</f>
        <v>0.30483870967741938</v>
      </c>
      <c r="N72" s="316">
        <f>$E72*(M72-'Table S-1a'!$AV$17)/($D72-'Table S-1a'!$AV$17)*(1/AA72)</f>
        <v>3.3779304221998666E-2</v>
      </c>
      <c r="O72" s="331">
        <f t="shared" si="15"/>
        <v>93.238399999999999</v>
      </c>
      <c r="P72" s="316">
        <f>(F72-(AB72*'Table S-1a'!$AX$17))/AC72</f>
        <v>-0.42343068950132134</v>
      </c>
      <c r="Q72" s="316">
        <f>$G72*(P72-'Table S-1a'!$AX$17)/($F72-'Table S-1a'!$AX$17)*(1/AC72)</f>
        <v>0.13213243393142504</v>
      </c>
      <c r="R72" s="315">
        <f>(H72/(J72*10000)*1000000)/'Table S-1a'!$AX$16</f>
        <v>15.756302521008402</v>
      </c>
      <c r="S72" s="315">
        <f>(I72/(J72*10000)*1000000)/'Table S-1a'!$AV$16</f>
        <v>135.99537037037035</v>
      </c>
      <c r="T72" s="377">
        <f t="shared" si="16"/>
        <v>8.6311728395061724</v>
      </c>
      <c r="U72" s="373"/>
      <c r="V72" s="330">
        <f t="shared" si="17"/>
        <v>1.875</v>
      </c>
      <c r="W72" s="377">
        <f t="shared" si="18"/>
        <v>14.6875</v>
      </c>
      <c r="X72" s="380"/>
      <c r="Y72" s="332">
        <f>('Table S-1a'!AV$16*(J72/100))/H72</f>
        <v>5.7600000000000005E-2</v>
      </c>
      <c r="Z72" s="332">
        <f>('Table S-1a'!AW$16*(K72/100))/H72</f>
        <v>0</v>
      </c>
      <c r="AA72" s="332">
        <f t="shared" si="19"/>
        <v>0.94240000000000002</v>
      </c>
      <c r="AB72" s="332">
        <f>('Table S-1a'!AX$16*(J72/100))/I72</f>
        <v>8.1021276595744686E-3</v>
      </c>
      <c r="AC72" s="383">
        <f t="shared" si="20"/>
        <v>0.99189787234042548</v>
      </c>
    </row>
    <row r="73" spans="1:29">
      <c r="C73" s="355">
        <v>152</v>
      </c>
      <c r="D73" s="362">
        <v>0.18</v>
      </c>
      <c r="E73" s="322">
        <v>5</v>
      </c>
      <c r="F73" s="322">
        <v>0.1</v>
      </c>
      <c r="G73" s="322">
        <v>0.18</v>
      </c>
      <c r="H73" s="323">
        <v>23</v>
      </c>
      <c r="I73" s="323">
        <v>110</v>
      </c>
      <c r="J73" s="361">
        <v>5.8</v>
      </c>
      <c r="K73" s="374"/>
      <c r="L73" s="330">
        <f t="shared" si="14"/>
        <v>22.3736</v>
      </c>
      <c r="M73" s="316">
        <f>(D73-(Y73*'Table S-1a'!$AV$17)-('Table S-1a'!$AW$17*Z73))/AA73</f>
        <v>0.19343869560553509</v>
      </c>
      <c r="N73" s="316">
        <f>$E73*(M73-'Table S-1a'!$AV$17)/($D73-'Table S-1a'!$AV$17)*(1/AA73)</f>
        <v>5.2838920642554665</v>
      </c>
      <c r="O73" s="331">
        <f t="shared" si="15"/>
        <v>109.30980000000001</v>
      </c>
      <c r="P73" s="316">
        <f>(F73-(AB73*'Table S-1a'!$AX$17))/AC73</f>
        <v>0.10063141639633409</v>
      </c>
      <c r="Q73" s="316">
        <f>$G73*(P73-'Table S-1a'!$AX$17)/($F73-'Table S-1a'!$AX$17)*(1/AC73)</f>
        <v>0.18228027538678276</v>
      </c>
      <c r="R73" s="315">
        <f>(H73/(J73*10000)*1000000)/'Table S-1a'!$AX$16</f>
        <v>33.323674297305132</v>
      </c>
      <c r="S73" s="315">
        <f>(I73/(J73*10000)*1000000)/'Table S-1a'!$AV$16</f>
        <v>175.6066411238825</v>
      </c>
      <c r="T73" s="377">
        <f t="shared" si="16"/>
        <v>5.2697262479871165</v>
      </c>
      <c r="U73" s="373"/>
      <c r="V73" s="330">
        <f t="shared" si="17"/>
        <v>3.9655172413793105</v>
      </c>
      <c r="W73" s="377">
        <f t="shared" si="18"/>
        <v>18.96551724137931</v>
      </c>
      <c r="X73" s="380"/>
      <c r="Y73" s="332">
        <f>('Table S-1a'!AV$16*(J73/100))/H73</f>
        <v>2.7234782608695652E-2</v>
      </c>
      <c r="Z73" s="332">
        <f>('Table S-1a'!AW$16*(K73/100))/H73</f>
        <v>0</v>
      </c>
      <c r="AA73" s="332">
        <f t="shared" si="19"/>
        <v>0.97276521739130439</v>
      </c>
      <c r="AB73" s="332">
        <f>('Table S-1a'!AX$16*(J73/100))/I73</f>
        <v>6.2745454545454537E-3</v>
      </c>
      <c r="AC73" s="383">
        <f t="shared" si="20"/>
        <v>0.99372545454545458</v>
      </c>
    </row>
    <row r="74" spans="1:29">
      <c r="C74" s="355">
        <v>151.69999999999999</v>
      </c>
      <c r="D74" s="362">
        <v>0.15</v>
      </c>
      <c r="E74" s="322">
        <v>0.08</v>
      </c>
      <c r="F74" s="322">
        <v>0.18</v>
      </c>
      <c r="G74" s="322">
        <v>0.15</v>
      </c>
      <c r="H74" s="323">
        <v>20</v>
      </c>
      <c r="I74" s="323">
        <v>172</v>
      </c>
      <c r="J74" s="361">
        <v>6.3</v>
      </c>
      <c r="K74" s="374"/>
      <c r="L74" s="330">
        <f t="shared" si="14"/>
        <v>19.319599999999998</v>
      </c>
      <c r="M74" s="316">
        <f>(D74-(Y74*'Table S-1a'!$AV$17)-('Table S-1a'!$AW$17*Z74))/AA74</f>
        <v>0.16584815420609123</v>
      </c>
      <c r="N74" s="316">
        <f>$E74*(M74-'Table S-1a'!$AV$17)/($D74-'Table S-1a'!$AV$17)*(1/AA74)</f>
        <v>8.5734124553964314E-2</v>
      </c>
      <c r="O74" s="331">
        <f t="shared" si="15"/>
        <v>171.25029999999998</v>
      </c>
      <c r="P74" s="316">
        <f>(F74-(AB74*'Table S-1a'!$AX$17))/AC74</f>
        <v>0.18078800445897028</v>
      </c>
      <c r="Q74" s="316">
        <f>$G74*(P74-'Table S-1a'!$AX$17)/($F74-'Table S-1a'!$AX$17)*(1/AC74)</f>
        <v>0.15131621553822527</v>
      </c>
      <c r="R74" s="315">
        <f>(H74/(J74*10000)*1000000)/'Table S-1a'!$AX$16</f>
        <v>26.67733760170735</v>
      </c>
      <c r="S74" s="315">
        <f>(I74/(J74*10000)*1000000)/'Table S-1a'!$AV$16</f>
        <v>252.7924750146972</v>
      </c>
      <c r="T74" s="377">
        <f t="shared" si="16"/>
        <v>9.4759259259259245</v>
      </c>
      <c r="U74" s="373"/>
      <c r="V74" s="330">
        <f t="shared" si="17"/>
        <v>3.1746031746031749</v>
      </c>
      <c r="W74" s="377">
        <f t="shared" si="18"/>
        <v>27.301587301587304</v>
      </c>
      <c r="X74" s="380"/>
      <c r="Y74" s="332">
        <f>('Table S-1a'!AV$16*(J74/100))/H74</f>
        <v>3.4020000000000002E-2</v>
      </c>
      <c r="Z74" s="332">
        <f>('Table S-1a'!AW$16*(K74/100))/H74</f>
        <v>0</v>
      </c>
      <c r="AA74" s="332">
        <f t="shared" si="19"/>
        <v>0.96597999999999995</v>
      </c>
      <c r="AB74" s="332">
        <f>('Table S-1a'!AX$16*(J74/100))/I74</f>
        <v>4.3587209302325585E-3</v>
      </c>
      <c r="AC74" s="383">
        <f t="shared" si="20"/>
        <v>0.9956412790697674</v>
      </c>
    </row>
    <row r="75" spans="1:29">
      <c r="C75" s="355">
        <v>151</v>
      </c>
      <c r="D75" s="362">
        <v>0.24</v>
      </c>
      <c r="E75" s="322">
        <v>0.04</v>
      </c>
      <c r="F75" s="322">
        <v>0.11</v>
      </c>
      <c r="G75" s="322">
        <v>0.14000000000000001</v>
      </c>
      <c r="H75" s="323">
        <v>10</v>
      </c>
      <c r="I75" s="323">
        <v>96</v>
      </c>
      <c r="J75" s="361">
        <v>5.7</v>
      </c>
      <c r="K75" s="374"/>
      <c r="L75" s="330">
        <f t="shared" si="14"/>
        <v>9.3843999999999994</v>
      </c>
      <c r="M75" s="316">
        <f>(D75-(Y75*'Table S-1a'!$AV$17)-('Table S-1a'!$AW$17*Z75))/AA75</f>
        <v>0.27542304249605726</v>
      </c>
      <c r="N75" s="316">
        <f>$E75*(M75-'Table S-1a'!$AV$17)/($D75-'Table S-1a'!$AV$17)*(1/AA75)</f>
        <v>4.5419983242170003E-2</v>
      </c>
      <c r="O75" s="331">
        <f t="shared" si="15"/>
        <v>95.321700000000007</v>
      </c>
      <c r="P75" s="316">
        <f>(F75-(AB75*'Table S-1a'!$AX$17))/AC75</f>
        <v>0.11078274936347127</v>
      </c>
      <c r="Q75" s="316">
        <f>$G75*(P75-'Table S-1a'!$AX$17)/($F75-'Table S-1a'!$AX$17)*(1/AC75)</f>
        <v>0.14199954197637665</v>
      </c>
      <c r="R75" s="315">
        <f>(H75/(J75*10000)*1000000)/'Table S-1a'!$AX$16</f>
        <v>14.742739200943534</v>
      </c>
      <c r="S75" s="315">
        <f>(I75/(J75*10000)*1000000)/'Table S-1a'!$AV$16</f>
        <v>155.94541910331384</v>
      </c>
      <c r="T75" s="377">
        <f t="shared" si="16"/>
        <v>10.577777777777779</v>
      </c>
      <c r="U75" s="373"/>
      <c r="V75" s="330">
        <f t="shared" si="17"/>
        <v>1.7543859649122806</v>
      </c>
      <c r="W75" s="377">
        <f t="shared" si="18"/>
        <v>16.842105263157894</v>
      </c>
      <c r="X75" s="380"/>
      <c r="Y75" s="332">
        <f>('Table S-1a'!AV$16*(J75/100))/H75</f>
        <v>6.1560000000000004E-2</v>
      </c>
      <c r="Z75" s="332">
        <f>('Table S-1a'!AW$16*(K75/100))/H75</f>
        <v>0</v>
      </c>
      <c r="AA75" s="332">
        <f t="shared" si="19"/>
        <v>0.93843999999999994</v>
      </c>
      <c r="AB75" s="332">
        <f>('Table S-1a'!AX$16*(J75/100))/I75</f>
        <v>7.0656249999999999E-3</v>
      </c>
      <c r="AC75" s="383">
        <f t="shared" si="20"/>
        <v>0.99293437500000004</v>
      </c>
    </row>
    <row r="76" spans="1:29">
      <c r="C76" s="355">
        <v>150.6</v>
      </c>
      <c r="D76" s="362">
        <v>0.17</v>
      </c>
      <c r="E76" s="322">
        <v>0.08</v>
      </c>
      <c r="F76" s="322">
        <v>0.01</v>
      </c>
      <c r="G76" s="322">
        <v>0.16</v>
      </c>
      <c r="H76" s="323">
        <v>19</v>
      </c>
      <c r="I76" s="323">
        <v>92</v>
      </c>
      <c r="J76" s="361">
        <v>6.4</v>
      </c>
      <c r="K76" s="374"/>
      <c r="L76" s="330">
        <f t="shared" si="14"/>
        <v>18.308799999999998</v>
      </c>
      <c r="M76" s="316">
        <f>(D76-(Y76*'Table S-1a'!$AV$17)-('Table S-1a'!$AW$17*Z76))/AA76</f>
        <v>0.1877435987066329</v>
      </c>
      <c r="N76" s="316">
        <f>$E76*(M76-'Table S-1a'!$AV$17)/($D76-'Table S-1a'!$AV$17)*(1/AA76)</f>
        <v>8.6154393147776176E-2</v>
      </c>
      <c r="O76" s="331">
        <f t="shared" si="15"/>
        <v>91.238399999999999</v>
      </c>
      <c r="P76" s="316">
        <f>(F76-(AB76*'Table S-1a'!$AX$17))/AC76</f>
        <v>1.0083473625140291E-2</v>
      </c>
      <c r="Q76" s="316">
        <f>$G76*(P76-'Table S-1a'!$AX$17)/($F76-'Table S-1a'!$AX$17)*(1/AC76)</f>
        <v>0.16268230455823982</v>
      </c>
      <c r="R76" s="315">
        <f>(H76/(J76*10000)*1000000)/'Table S-1a'!$AX$16</f>
        <v>24.947478991596636</v>
      </c>
      <c r="S76" s="315">
        <f>(I76/(J76*10000)*1000000)/'Table S-1a'!$AV$16</f>
        <v>133.10185185185185</v>
      </c>
      <c r="T76" s="377">
        <f t="shared" si="16"/>
        <v>5.3352826510721254</v>
      </c>
      <c r="U76" s="373"/>
      <c r="V76" s="330">
        <f t="shared" si="17"/>
        <v>2.96875</v>
      </c>
      <c r="W76" s="377">
        <f t="shared" si="18"/>
        <v>14.375</v>
      </c>
      <c r="X76" s="380"/>
      <c r="Y76" s="332">
        <f>('Table S-1a'!AV$16*(J76/100))/H76</f>
        <v>3.6378947368421052E-2</v>
      </c>
      <c r="Z76" s="332">
        <f>('Table S-1a'!AW$16*(K76/100))/H76</f>
        <v>0</v>
      </c>
      <c r="AA76" s="332">
        <f t="shared" si="19"/>
        <v>0.96362105263157893</v>
      </c>
      <c r="AB76" s="332">
        <f>('Table S-1a'!AX$16*(J76/100))/I76</f>
        <v>8.2782608695652175E-3</v>
      </c>
      <c r="AC76" s="383">
        <f t="shared" si="20"/>
        <v>0.99172173913043482</v>
      </c>
    </row>
    <row r="77" spans="1:29">
      <c r="C77" s="355">
        <v>150</v>
      </c>
      <c r="D77" s="362">
        <v>0.36</v>
      </c>
      <c r="E77" s="322">
        <v>0.09</v>
      </c>
      <c r="F77" s="322">
        <v>-0.39</v>
      </c>
      <c r="G77" s="322">
        <v>0.13</v>
      </c>
      <c r="H77" s="323">
        <v>19</v>
      </c>
      <c r="I77" s="323">
        <v>191</v>
      </c>
      <c r="J77" s="361">
        <v>5.5</v>
      </c>
      <c r="K77" s="374"/>
      <c r="L77" s="330">
        <f t="shared" si="14"/>
        <v>18.405999999999999</v>
      </c>
      <c r="M77" s="316">
        <f>(D77-(Y77*'Table S-1a'!$AV$17)-('Table S-1a'!$AW$17*Z77))/AA77</f>
        <v>0.38129957622514399</v>
      </c>
      <c r="N77" s="316">
        <f>$E77*(M77-'Table S-1a'!$AV$17)/($D77-'Table S-1a'!$AV$17)*(1/AA77)</f>
        <v>9.5902709207553866E-2</v>
      </c>
      <c r="O77" s="331">
        <f t="shared" si="15"/>
        <v>190.34550000000002</v>
      </c>
      <c r="P77" s="316">
        <f>(F77-(AB77*'Table S-1a'!$AX$17))/AC77</f>
        <v>-0.39134100884969697</v>
      </c>
      <c r="Q77" s="316">
        <f>$G77*(P77-'Table S-1a'!$AX$17)/($F77-'Table S-1a'!$AX$17)*(1/AC77)</f>
        <v>0.13089554291239197</v>
      </c>
      <c r="R77" s="315">
        <f>(H77/(J77*10000)*1000000)/'Table S-1a'!$AX$16</f>
        <v>29.029793735676087</v>
      </c>
      <c r="S77" s="315">
        <f>(I77/(J77*10000)*1000000)/'Table S-1a'!$AV$16</f>
        <v>321.54882154882154</v>
      </c>
      <c r="T77" s="377">
        <f t="shared" si="16"/>
        <v>11.076510721247564</v>
      </c>
      <c r="U77" s="373"/>
      <c r="V77" s="330">
        <f t="shared" si="17"/>
        <v>3.4545454545454546</v>
      </c>
      <c r="W77" s="377">
        <f t="shared" si="18"/>
        <v>34.727272727272727</v>
      </c>
      <c r="X77" s="380"/>
      <c r="Y77" s="332">
        <f>('Table S-1a'!AV$16*(J77/100))/H77</f>
        <v>3.1263157894736847E-2</v>
      </c>
      <c r="Z77" s="332">
        <f>('Table S-1a'!AW$16*(K77/100))/H77</f>
        <v>0</v>
      </c>
      <c r="AA77" s="332">
        <f t="shared" si="19"/>
        <v>0.96873684210526312</v>
      </c>
      <c r="AB77" s="332">
        <f>('Table S-1a'!AX$16*(J77/100))/I77</f>
        <v>3.4267015706806281E-3</v>
      </c>
      <c r="AC77" s="383">
        <f t="shared" si="20"/>
        <v>0.99657329842931941</v>
      </c>
    </row>
    <row r="78" spans="1:29">
      <c r="C78" s="355">
        <v>149</v>
      </c>
      <c r="D78" s="362">
        <v>0.35</v>
      </c>
      <c r="E78" s="322">
        <v>0.01</v>
      </c>
      <c r="F78" s="322">
        <v>-0.3</v>
      </c>
      <c r="G78" s="322">
        <v>0.15</v>
      </c>
      <c r="H78" s="323">
        <v>12</v>
      </c>
      <c r="I78" s="323">
        <v>126</v>
      </c>
      <c r="J78" s="361">
        <v>4.9000000000000004</v>
      </c>
      <c r="K78" s="374"/>
      <c r="L78" s="330">
        <f t="shared" si="14"/>
        <v>11.470800000000001</v>
      </c>
      <c r="M78" s="316">
        <f>(D78-(Y78*'Table S-1a'!$AV$17)-('Table S-1a'!$AW$17*Z78))/AA78</f>
        <v>0.37998744638560522</v>
      </c>
      <c r="N78" s="316">
        <f>$E78*(M78-'Table S-1a'!$AV$17)/($D78-'Table S-1a'!$AV$17)*(1/AA78)</f>
        <v>1.0943974609278494E-2</v>
      </c>
      <c r="O78" s="331">
        <f t="shared" si="15"/>
        <v>125.4169</v>
      </c>
      <c r="P78" s="316">
        <f>(F78-(AB78*'Table S-1a'!$AX$17))/AC78</f>
        <v>-0.3013947881027198</v>
      </c>
      <c r="Q78" s="316">
        <f>$G78*(P78-'Table S-1a'!$AX$17)/($F78-'Table S-1a'!$AX$17)*(1/AC78)</f>
        <v>0.1513980304924723</v>
      </c>
      <c r="R78" s="315">
        <f>(H78/(J78*10000)*1000000)/'Table S-1a'!$AX$16</f>
        <v>20.579660435602811</v>
      </c>
      <c r="S78" s="315">
        <f>(I78/(J78*10000)*1000000)/'Table S-1a'!$AV$16</f>
        <v>238.09523809523805</v>
      </c>
      <c r="T78" s="377">
        <f t="shared" si="16"/>
        <v>11.569444444444443</v>
      </c>
      <c r="U78" s="373"/>
      <c r="V78" s="330">
        <f t="shared" si="17"/>
        <v>2.4489795918367343</v>
      </c>
      <c r="W78" s="377">
        <f t="shared" si="18"/>
        <v>25.714285714285712</v>
      </c>
      <c r="X78" s="380"/>
      <c r="Y78" s="332">
        <f>('Table S-1a'!AV$16*(J78/100))/H78</f>
        <v>4.41E-2</v>
      </c>
      <c r="Z78" s="332">
        <f>('Table S-1a'!AW$16*(K78/100))/H78</f>
        <v>0</v>
      </c>
      <c r="AA78" s="332">
        <f t="shared" si="19"/>
        <v>0.95589999999999997</v>
      </c>
      <c r="AB78" s="332">
        <f>('Table S-1a'!AX$16*(J78/100))/I78</f>
        <v>4.6277777777777784E-3</v>
      </c>
      <c r="AC78" s="383">
        <f t="shared" si="20"/>
        <v>0.99537222222222221</v>
      </c>
    </row>
    <row r="79" spans="1:29">
      <c r="C79" s="355">
        <v>147.80000000000001</v>
      </c>
      <c r="D79" s="362">
        <v>0.35</v>
      </c>
      <c r="E79" s="322">
        <v>0.04</v>
      </c>
      <c r="F79" s="322">
        <v>-0.37</v>
      </c>
      <c r="G79" s="322">
        <v>0.1</v>
      </c>
      <c r="H79" s="323">
        <v>25</v>
      </c>
      <c r="I79" s="323">
        <v>100</v>
      </c>
      <c r="J79" s="361">
        <v>5.6</v>
      </c>
      <c r="K79" s="374"/>
      <c r="L79" s="330">
        <f t="shared" si="14"/>
        <v>24.395199999999999</v>
      </c>
      <c r="M79" s="316">
        <f>(D79-(Y79*'Table S-1a'!$AV$17)-('Table S-1a'!$AW$17*Z79))/AA79</f>
        <v>0.36611464550403355</v>
      </c>
      <c r="N79" s="316">
        <f>$E79*(M79-'Table S-1a'!$AV$17)/($D79-'Table S-1a'!$AV$17)*(1/AA79)</f>
        <v>4.2007926244256984E-2</v>
      </c>
      <c r="O79" s="331">
        <f t="shared" si="15"/>
        <v>99.333600000000004</v>
      </c>
      <c r="P79" s="316">
        <f>(F79-(AB79*'Table S-1a'!$AX$17))/AC79</f>
        <v>-0.37248222152423749</v>
      </c>
      <c r="Q79" s="316">
        <f>$G79*(P79-'Table S-1a'!$AX$17)/($F79-'Table S-1a'!$AX$17)*(1/AC79)</f>
        <v>0.10134624203917542</v>
      </c>
      <c r="R79" s="315">
        <f>(H79/(J79*10000)*1000000)/'Table S-1a'!$AX$16</f>
        <v>37.515006002400959</v>
      </c>
      <c r="S79" s="315">
        <f>(I79/(J79*10000)*1000000)/'Table S-1a'!$AV$16</f>
        <v>165.34391534391531</v>
      </c>
      <c r="T79" s="377">
        <f t="shared" si="16"/>
        <v>4.4074074074074066</v>
      </c>
      <c r="U79" s="373"/>
      <c r="V79" s="330">
        <f t="shared" si="17"/>
        <v>4.4642857142857144</v>
      </c>
      <c r="W79" s="377">
        <f t="shared" si="18"/>
        <v>17.857142857142858</v>
      </c>
      <c r="X79" s="380"/>
      <c r="Y79" s="332">
        <f>('Table S-1a'!AV$16*(J79/100))/H79</f>
        <v>2.4192000000000002E-2</v>
      </c>
      <c r="Z79" s="332">
        <f>('Table S-1a'!AW$16*(K79/100))/H79</f>
        <v>0</v>
      </c>
      <c r="AA79" s="332">
        <f t="shared" si="19"/>
        <v>0.97580800000000001</v>
      </c>
      <c r="AB79" s="332">
        <f>('Table S-1a'!AX$16*(J79/100))/I79</f>
        <v>6.6639999999999998E-3</v>
      </c>
      <c r="AC79" s="383">
        <f t="shared" si="20"/>
        <v>0.993336</v>
      </c>
    </row>
    <row r="80" spans="1:29">
      <c r="C80" s="355">
        <v>147.4</v>
      </c>
      <c r="D80" s="362">
        <v>0.36</v>
      </c>
      <c r="E80" s="322">
        <v>0.06</v>
      </c>
      <c r="F80" s="322">
        <v>-0.37</v>
      </c>
      <c r="G80" s="322">
        <v>0.1</v>
      </c>
      <c r="H80" s="323">
        <v>14</v>
      </c>
      <c r="I80" s="323">
        <v>99</v>
      </c>
      <c r="J80" s="361">
        <v>6.4</v>
      </c>
      <c r="K80" s="374"/>
      <c r="L80" s="330">
        <f t="shared" si="14"/>
        <v>13.3088</v>
      </c>
      <c r="M80" s="316">
        <f>(D80-(Y80*'Table S-1a'!$AV$17)-('Table S-1a'!$AW$17*Z80))/AA80</f>
        <v>0.39427747054580431</v>
      </c>
      <c r="N80" s="316">
        <f>$E80*(M80-'Table S-1a'!$AV$17)/($D80-'Table S-1a'!$AV$17)*(1/AA80)</f>
        <v>6.6394105524446315E-2</v>
      </c>
      <c r="O80" s="331">
        <f t="shared" si="15"/>
        <v>98.238399999999999</v>
      </c>
      <c r="P80" s="316">
        <f>(F80-(AB80*'Table S-1a'!$AX$17))/AC80</f>
        <v>-0.3728684506262317</v>
      </c>
      <c r="Q80" s="316">
        <f>$G80*(P80-'Table S-1a'!$AX$17)/($F80-'Table S-1a'!$AX$17)*(1/AC80)</f>
        <v>0.10155652408503038</v>
      </c>
      <c r="R80" s="315">
        <f>(H80/(J80*10000)*1000000)/'Table S-1a'!$AX$16</f>
        <v>18.382352941176471</v>
      </c>
      <c r="S80" s="315">
        <f>(I80/(J80*10000)*1000000)/'Table S-1a'!$AV$16</f>
        <v>143.22916666666666</v>
      </c>
      <c r="T80" s="377">
        <f t="shared" si="16"/>
        <v>7.7916666666666661</v>
      </c>
      <c r="U80" s="373"/>
      <c r="V80" s="330">
        <f t="shared" si="17"/>
        <v>2.1875</v>
      </c>
      <c r="W80" s="377">
        <f t="shared" si="18"/>
        <v>15.46875</v>
      </c>
      <c r="X80" s="380"/>
      <c r="Y80" s="332">
        <f>('Table S-1a'!AV$16*(J80/100))/H80</f>
        <v>4.9371428571428573E-2</v>
      </c>
      <c r="Z80" s="332">
        <f>('Table S-1a'!AW$16*(K80/100))/H80</f>
        <v>0</v>
      </c>
      <c r="AA80" s="332">
        <f t="shared" si="19"/>
        <v>0.95062857142857138</v>
      </c>
      <c r="AB80" s="332">
        <f>('Table S-1a'!AX$16*(J80/100))/I80</f>
        <v>7.6929292929292931E-3</v>
      </c>
      <c r="AC80" s="383">
        <f t="shared" si="20"/>
        <v>0.99230707070707069</v>
      </c>
    </row>
    <row r="81" spans="1:29">
      <c r="C81" s="355">
        <v>146.6</v>
      </c>
      <c r="D81" s="362">
        <v>0.37</v>
      </c>
      <c r="E81" s="322">
        <v>0.09</v>
      </c>
      <c r="F81" s="322">
        <v>-0.23</v>
      </c>
      <c r="G81" s="322">
        <v>0.12</v>
      </c>
      <c r="H81" s="323">
        <v>20</v>
      </c>
      <c r="I81" s="323">
        <v>60</v>
      </c>
      <c r="J81" s="361">
        <v>6.1</v>
      </c>
      <c r="K81" s="374"/>
      <c r="L81" s="330">
        <f t="shared" si="14"/>
        <v>19.341200000000001</v>
      </c>
      <c r="M81" s="316">
        <f>(D81-(Y81*'Table S-1a'!$AV$17)-('Table S-1a'!$AW$17*Z81))/AA81</f>
        <v>0.39282154157963312</v>
      </c>
      <c r="N81" s="316">
        <f>$E81*(M81-'Table S-1a'!$AV$17)/($D81-'Table S-1a'!$AV$17)*(1/AA81)</f>
        <v>9.6235580224794254E-2</v>
      </c>
      <c r="O81" s="331">
        <f t="shared" si="15"/>
        <v>59.274100000000004</v>
      </c>
      <c r="P81" s="316">
        <f>(F81-(AB81*'Table S-1a'!$AX$17))/AC81</f>
        <v>-0.2328166939692041</v>
      </c>
      <c r="Q81" s="316">
        <f>$G81*(P81-'Table S-1a'!$AX$17)/($F81-'Table S-1a'!$AX$17)*(1/AC81)</f>
        <v>0.12295715612268437</v>
      </c>
      <c r="R81" s="315">
        <f>(H81/(J81*10000)*1000000)/'Table S-1a'!$AX$16</f>
        <v>27.552004408320705</v>
      </c>
      <c r="S81" s="315">
        <f>(I81/(J81*10000)*1000000)/'Table S-1a'!$AV$16</f>
        <v>91.074681238615653</v>
      </c>
      <c r="T81" s="377">
        <f t="shared" si="16"/>
        <v>3.3055555555555549</v>
      </c>
      <c r="U81" s="373"/>
      <c r="V81" s="330">
        <f t="shared" si="17"/>
        <v>3.278688524590164</v>
      </c>
      <c r="W81" s="377">
        <f t="shared" si="18"/>
        <v>9.8360655737704921</v>
      </c>
      <c r="X81" s="380"/>
      <c r="Y81" s="332">
        <f>('Table S-1a'!AV$16*(J81/100))/H81</f>
        <v>3.2940000000000004E-2</v>
      </c>
      <c r="Z81" s="332">
        <f>('Table S-1a'!AW$16*(K81/100))/H81</f>
        <v>0</v>
      </c>
      <c r="AA81" s="332">
        <f t="shared" si="19"/>
        <v>0.96706000000000003</v>
      </c>
      <c r="AB81" s="332">
        <f>('Table S-1a'!AX$16*(J81/100))/I81</f>
        <v>1.2098333333333332E-2</v>
      </c>
      <c r="AC81" s="383">
        <f t="shared" si="20"/>
        <v>0.98790166666666668</v>
      </c>
    </row>
    <row r="82" spans="1:29">
      <c r="C82" s="355">
        <v>145.69999999999999</v>
      </c>
      <c r="D82" s="362">
        <v>0.33</v>
      </c>
      <c r="E82" s="322">
        <v>0.08</v>
      </c>
      <c r="F82" s="322">
        <v>-0.09</v>
      </c>
      <c r="G82" s="322">
        <v>0.1</v>
      </c>
      <c r="H82" s="323">
        <v>24</v>
      </c>
      <c r="I82" s="323">
        <v>77</v>
      </c>
      <c r="J82" s="361">
        <v>6.8</v>
      </c>
      <c r="K82" s="374"/>
      <c r="L82" s="330">
        <f t="shared" si="14"/>
        <v>23.265599999999999</v>
      </c>
      <c r="M82" s="316">
        <f>(D82-(Y82*'Table S-1a'!$AV$17)-('Table S-1a'!$AW$17*Z82))/AA82</f>
        <v>0.34988652774912321</v>
      </c>
      <c r="N82" s="316">
        <f>$E82*(M82-'Table S-1a'!$AV$17)/($D82-'Table S-1a'!$AV$17)*(1/AA82)</f>
        <v>8.5130259299533773E-2</v>
      </c>
      <c r="O82" s="331">
        <f t="shared" si="15"/>
        <v>76.190799999999996</v>
      </c>
      <c r="P82" s="316">
        <f>(F82-(AB82*'Table S-1a'!$AX$17))/AC82</f>
        <v>-9.0955863437580386E-2</v>
      </c>
      <c r="Q82" s="316">
        <f>$G82*(P82-'Table S-1a'!$AX$17)/($F82-'Table S-1a'!$AX$17)*(1/AC82)</f>
        <v>0.10213542090957745</v>
      </c>
      <c r="R82" s="315">
        <f>(H82/(J82*10000)*1000000)/'Table S-1a'!$AX$16</f>
        <v>29.658922392486406</v>
      </c>
      <c r="S82" s="315">
        <f>(I82/(J82*10000)*1000000)/'Table S-1a'!$AV$16</f>
        <v>104.84749455337692</v>
      </c>
      <c r="T82" s="377">
        <f t="shared" si="16"/>
        <v>3.5351080246913584</v>
      </c>
      <c r="U82" s="373"/>
      <c r="V82" s="330">
        <f t="shared" si="17"/>
        <v>3.5294117647058822</v>
      </c>
      <c r="W82" s="377">
        <f t="shared" si="18"/>
        <v>11.323529411764707</v>
      </c>
      <c r="X82" s="380"/>
      <c r="Y82" s="332">
        <f>('Table S-1a'!AV$16*(J82/100))/H82</f>
        <v>3.0600000000000002E-2</v>
      </c>
      <c r="Z82" s="332">
        <f>('Table S-1a'!AW$16*(K82/100))/H82</f>
        <v>0</v>
      </c>
      <c r="AA82" s="332">
        <f t="shared" si="19"/>
        <v>0.96940000000000004</v>
      </c>
      <c r="AB82" s="332">
        <f>('Table S-1a'!AX$16*(J82/100))/I82</f>
        <v>1.0509090909090909E-2</v>
      </c>
      <c r="AC82" s="383">
        <f t="shared" si="20"/>
        <v>0.98949090909090909</v>
      </c>
    </row>
    <row r="83" spans="1:29">
      <c r="C83" s="355">
        <v>143.69999999999999</v>
      </c>
      <c r="D83" s="362">
        <v>0.34</v>
      </c>
      <c r="E83" s="322">
        <v>0.06</v>
      </c>
      <c r="F83" s="322">
        <v>0.01</v>
      </c>
      <c r="G83" s="322">
        <v>0.1</v>
      </c>
      <c r="H83" s="323">
        <v>20</v>
      </c>
      <c r="I83" s="323">
        <v>66</v>
      </c>
      <c r="J83" s="361">
        <v>6.3</v>
      </c>
      <c r="K83" s="374"/>
      <c r="L83" s="330">
        <f t="shared" si="14"/>
        <v>19.319599999999998</v>
      </c>
      <c r="M83" s="316">
        <f>(D83-(Y83*'Table S-1a'!$AV$17)-('Table S-1a'!$AW$17*Z83))/AA83</f>
        <v>0.36253959709310757</v>
      </c>
      <c r="N83" s="316">
        <f>$E83*(M83-'Table S-1a'!$AV$17)/($D83-'Table S-1a'!$AV$17)*(1/AA83)</f>
        <v>6.4300593415473228E-2</v>
      </c>
      <c r="O83" s="331">
        <f t="shared" si="15"/>
        <v>65.250299999999996</v>
      </c>
      <c r="P83" s="316">
        <f>(F83-(AB83*'Table S-1a'!$AX$17))/AC83</f>
        <v>1.0114896023466559E-2</v>
      </c>
      <c r="Q83" s="316">
        <f>$G83*(P83-'Table S-1a'!$AX$17)/($F83-'Table S-1a'!$AX$17)*(1/AC83)</f>
        <v>0.10231112156553961</v>
      </c>
      <c r="R83" s="315">
        <f>(H83/(J83*10000)*1000000)/'Table S-1a'!$AX$16</f>
        <v>26.67733760170735</v>
      </c>
      <c r="S83" s="315">
        <f>(I83/(J83*10000)*1000000)/'Table S-1a'!$AV$16</f>
        <v>97.001763668430343</v>
      </c>
      <c r="T83" s="377">
        <f t="shared" si="16"/>
        <v>3.6361111111111115</v>
      </c>
      <c r="U83" s="373"/>
      <c r="V83" s="330">
        <f t="shared" si="17"/>
        <v>3.1746031746031749</v>
      </c>
      <c r="W83" s="377">
        <f t="shared" si="18"/>
        <v>10.476190476190476</v>
      </c>
      <c r="X83" s="380"/>
      <c r="Y83" s="332">
        <f>('Table S-1a'!AV$16*(J83/100))/H83</f>
        <v>3.4020000000000002E-2</v>
      </c>
      <c r="Z83" s="332">
        <f>('Table S-1a'!AW$16*(K83/100))/H83</f>
        <v>0</v>
      </c>
      <c r="AA83" s="332">
        <f t="shared" si="19"/>
        <v>0.96597999999999995</v>
      </c>
      <c r="AB83" s="332">
        <f>('Table S-1a'!AX$16*(J83/100))/I83</f>
        <v>1.1359090909090909E-2</v>
      </c>
      <c r="AC83" s="383">
        <f t="shared" si="20"/>
        <v>0.98864090909090907</v>
      </c>
    </row>
    <row r="84" spans="1:29">
      <c r="C84" s="355">
        <v>143.19999999999999</v>
      </c>
      <c r="D84" s="362">
        <v>0.44</v>
      </c>
      <c r="E84" s="322">
        <v>0.08</v>
      </c>
      <c r="F84" s="322">
        <v>-0.47</v>
      </c>
      <c r="G84" s="322">
        <v>0.15</v>
      </c>
      <c r="H84" s="323">
        <v>23</v>
      </c>
      <c r="I84" s="323">
        <v>663</v>
      </c>
      <c r="J84" s="361">
        <v>6.9</v>
      </c>
      <c r="K84" s="374"/>
      <c r="L84" s="330">
        <f t="shared" si="14"/>
        <v>22.254799999999999</v>
      </c>
      <c r="M84" s="316">
        <f>(D84-(Y84*'Table S-1a'!$AV$17)-('Table S-1a'!$AW$17*Z84))/AA84</f>
        <v>0.46477883422902028</v>
      </c>
      <c r="N84" s="316">
        <f>$E84*(M84-'Table S-1a'!$AV$17)/($D84-'Table S-1a'!$AV$17)*(1/AA84)</f>
        <v>8.5447284921066374E-2</v>
      </c>
      <c r="O84" s="331">
        <f t="shared" si="15"/>
        <v>662.1789</v>
      </c>
      <c r="P84" s="316">
        <f>(F84-(AB84*'Table S-1a'!$AX$17))/AC84</f>
        <v>-0.4705827986968476</v>
      </c>
      <c r="Q84" s="316">
        <f>$G84*(P84-'Table S-1a'!$AX$17)/($F84-'Table S-1a'!$AX$17)*(1/AC84)</f>
        <v>0.15037222980716919</v>
      </c>
      <c r="R84" s="315">
        <f>(H84/(J84*10000)*1000000)/'Table S-1a'!$AX$16</f>
        <v>28.011204481792713</v>
      </c>
      <c r="S84" s="315">
        <f>(I84/(J84*10000)*1000000)/'Table S-1a'!$AV$16</f>
        <v>889.69404186795475</v>
      </c>
      <c r="T84" s="377">
        <f t="shared" si="16"/>
        <v>31.762077294685987</v>
      </c>
      <c r="U84" s="373"/>
      <c r="V84" s="330">
        <f t="shared" si="17"/>
        <v>3.333333333333333</v>
      </c>
      <c r="W84" s="377">
        <f t="shared" si="18"/>
        <v>96.086956521739125</v>
      </c>
      <c r="X84" s="380"/>
      <c r="Y84" s="332">
        <f>('Table S-1a'!AV$16*(J84/100))/H84</f>
        <v>3.2400000000000005E-2</v>
      </c>
      <c r="Z84" s="332">
        <f>('Table S-1a'!AW$16*(K84/100))/H84</f>
        <v>0</v>
      </c>
      <c r="AA84" s="332">
        <f t="shared" si="19"/>
        <v>0.96760000000000002</v>
      </c>
      <c r="AB84" s="332">
        <f>('Table S-1a'!AX$16*(J84/100))/I84</f>
        <v>1.2384615384615385E-3</v>
      </c>
      <c r="AC84" s="383">
        <f t="shared" si="20"/>
        <v>0.99876153846153848</v>
      </c>
    </row>
    <row r="85" spans="1:29">
      <c r="C85" s="355">
        <v>142.30000000000001</v>
      </c>
      <c r="D85" s="362">
        <v>0.52</v>
      </c>
      <c r="E85" s="322">
        <v>0.1</v>
      </c>
      <c r="F85" s="322">
        <v>-1.1200000000000001</v>
      </c>
      <c r="G85" s="322">
        <v>0.13</v>
      </c>
      <c r="H85" s="323">
        <v>29</v>
      </c>
      <c r="I85" s="323">
        <v>385</v>
      </c>
      <c r="J85" s="361">
        <v>6.7</v>
      </c>
      <c r="K85" s="374"/>
      <c r="L85" s="330">
        <f t="shared" si="14"/>
        <v>28.276400000000002</v>
      </c>
      <c r="M85" s="316">
        <f>(D85-(Y85*'Table S-1a'!$AV$17)-('Table S-1a'!$AW$17*Z85))/AA85</f>
        <v>0.54098400079218012</v>
      </c>
      <c r="N85" s="316">
        <f>$E85*(M85-'Table S-1a'!$AV$17)/($D85-'Table S-1a'!$AV$17)*(1/AA85)</f>
        <v>0.10518353503694548</v>
      </c>
      <c r="O85" s="331">
        <f t="shared" si="15"/>
        <v>384.20269999999999</v>
      </c>
      <c r="P85" s="316">
        <f>(F85-(AB85*'Table S-1a'!$AX$17))/AC85</f>
        <v>-1.1223242314538655</v>
      </c>
      <c r="Q85" s="316">
        <f>$G85*(P85-'Table S-1a'!$AX$17)/($F85-'Table S-1a'!$AX$17)*(1/AC85)</f>
        <v>0.13054011357310766</v>
      </c>
      <c r="R85" s="315">
        <f>(H85/(J85*10000)*1000000)/'Table S-1a'!$AX$16</f>
        <v>36.372758058447261</v>
      </c>
      <c r="S85" s="315">
        <f>(I85/(J85*10000)*1000000)/'Table S-1a'!$AV$16</f>
        <v>532.06191265892755</v>
      </c>
      <c r="T85" s="377">
        <f t="shared" si="16"/>
        <v>14.628033205619412</v>
      </c>
      <c r="U85" s="373"/>
      <c r="V85" s="330">
        <f t="shared" si="17"/>
        <v>4.3283582089552235</v>
      </c>
      <c r="W85" s="377">
        <f t="shared" si="18"/>
        <v>57.462686567164177</v>
      </c>
      <c r="X85" s="380"/>
      <c r="Y85" s="332">
        <f>('Table S-1a'!AV$16*(J85/100))/H85</f>
        <v>2.495172413793104E-2</v>
      </c>
      <c r="Z85" s="332">
        <f>('Table S-1a'!AW$16*(K85/100))/H85</f>
        <v>0</v>
      </c>
      <c r="AA85" s="332">
        <f t="shared" si="19"/>
        <v>0.97504827586206899</v>
      </c>
      <c r="AB85" s="332">
        <f>('Table S-1a'!AX$16*(J85/100))/I85</f>
        <v>2.0709090909090911E-3</v>
      </c>
      <c r="AC85" s="383">
        <f t="shared" si="20"/>
        <v>0.99792909090909088</v>
      </c>
    </row>
    <row r="86" spans="1:29">
      <c r="C86" s="355">
        <v>141.69999999999999</v>
      </c>
      <c r="D86" s="362">
        <v>0.52</v>
      </c>
      <c r="E86" s="322">
        <v>0.05</v>
      </c>
      <c r="F86" s="322">
        <v>-1.27</v>
      </c>
      <c r="G86" s="322">
        <v>0.17</v>
      </c>
      <c r="H86" s="323">
        <v>22</v>
      </c>
      <c r="I86" s="323">
        <v>230</v>
      </c>
      <c r="J86" s="361">
        <v>6.8</v>
      </c>
      <c r="K86" s="374"/>
      <c r="L86" s="330">
        <f t="shared" si="14"/>
        <v>21.265599999999999</v>
      </c>
      <c r="M86" s="316">
        <f>(D86-(Y86*'Table S-1a'!$AV$17)-('Table S-1a'!$AW$17*Z86))/AA86</f>
        <v>0.54831841095478151</v>
      </c>
      <c r="N86" s="316">
        <f>$E86*(M86-'Table S-1a'!$AV$17)/($D86-'Table S-1a'!$AV$17)*(1/AA86)</f>
        <v>5.3513096844500695E-2</v>
      </c>
      <c r="O86" s="331">
        <f t="shared" si="15"/>
        <v>229.1908</v>
      </c>
      <c r="P86" s="316">
        <f>(F86-(AB86*'Table S-1a'!$AX$17))/AC86</f>
        <v>-1.2744839670702315</v>
      </c>
      <c r="Q86" s="316">
        <f>$G86*(P86-'Table S-1a'!$AX$17)/($F86-'Table S-1a'!$AX$17)*(1/AC86)</f>
        <v>0.17120255130153308</v>
      </c>
      <c r="R86" s="315">
        <f>(H86/(J86*10000)*1000000)/'Table S-1a'!$AX$16</f>
        <v>27.187345526445874</v>
      </c>
      <c r="S86" s="315">
        <f>(I86/(J86*10000)*1000000)/'Table S-1a'!$AV$16</f>
        <v>313.18082788671018</v>
      </c>
      <c r="T86" s="377">
        <f t="shared" si="16"/>
        <v>11.519360269360266</v>
      </c>
      <c r="U86" s="373"/>
      <c r="V86" s="330">
        <f t="shared" si="17"/>
        <v>3.2352941176470589</v>
      </c>
      <c r="W86" s="377">
        <f t="shared" si="18"/>
        <v>33.82352941176471</v>
      </c>
      <c r="X86" s="380"/>
      <c r="Y86" s="332">
        <f>('Table S-1a'!AV$16*(J86/100))/H86</f>
        <v>3.3381818181818186E-2</v>
      </c>
      <c r="Z86" s="332">
        <f>('Table S-1a'!AW$16*(K86/100))/H86</f>
        <v>0</v>
      </c>
      <c r="AA86" s="332">
        <f t="shared" si="19"/>
        <v>0.96661818181818182</v>
      </c>
      <c r="AB86" s="332">
        <f>('Table S-1a'!AX$16*(J86/100))/I86</f>
        <v>3.5182608695652176E-3</v>
      </c>
      <c r="AC86" s="383">
        <f t="shared" si="20"/>
        <v>0.99648173913043481</v>
      </c>
    </row>
    <row r="87" spans="1:29">
      <c r="A87" s="351" t="s">
        <v>89</v>
      </c>
      <c r="C87" s="355"/>
      <c r="D87" s="362"/>
      <c r="E87" s="322"/>
      <c r="F87" s="322"/>
      <c r="G87" s="322"/>
      <c r="H87" s="323"/>
      <c r="I87" s="323"/>
      <c r="J87" s="361"/>
      <c r="K87" s="374"/>
      <c r="L87" s="330"/>
      <c r="M87" s="316"/>
      <c r="N87" s="316"/>
      <c r="O87" s="331"/>
      <c r="P87" s="316"/>
      <c r="Q87" s="316"/>
      <c r="R87" s="315"/>
      <c r="S87" s="315"/>
      <c r="T87" s="377"/>
      <c r="U87" s="373"/>
      <c r="V87" s="330"/>
      <c r="W87" s="377"/>
      <c r="X87" s="380"/>
      <c r="Y87" s="332"/>
      <c r="Z87" s="332"/>
      <c r="AA87" s="332"/>
      <c r="AB87" s="332"/>
      <c r="AC87" s="383"/>
    </row>
    <row r="88" spans="1:29">
      <c r="C88" s="355">
        <v>212.35</v>
      </c>
      <c r="D88" s="362">
        <v>-0.13</v>
      </c>
      <c r="E88" s="322">
        <v>7.0000000000000007E-2</v>
      </c>
      <c r="F88" s="322">
        <v>0.61</v>
      </c>
      <c r="G88" s="322">
        <v>0.08</v>
      </c>
      <c r="H88" s="323">
        <v>27</v>
      </c>
      <c r="I88" s="323">
        <v>48</v>
      </c>
      <c r="J88" s="361">
        <v>1.8</v>
      </c>
      <c r="K88" s="374"/>
      <c r="L88" s="330">
        <f t="shared" ref="L88:L104" si="21">AA88*H88</f>
        <v>26.805600000000002</v>
      </c>
      <c r="M88" s="316">
        <f>(D88-(Y88*'Table S-1a'!$AV$17)-('Table S-1a'!$AW$17*Z88))/AA88</f>
        <v>-0.12876712328767123</v>
      </c>
      <c r="N88" s="316">
        <f>$E88*(M88-'Table S-1a'!$AV$17)/($D88-'Table S-1a'!$AV$17)*(1/AA88)</f>
        <v>7.101899185822047E-2</v>
      </c>
      <c r="O88" s="331">
        <f t="shared" ref="O88:O104" si="22">I88*AC88</f>
        <v>47.785799999999995</v>
      </c>
      <c r="P88" s="316">
        <f>(F88-(AB88*'Table S-1a'!$AX$17))/AC88</f>
        <v>0.6127343269339427</v>
      </c>
      <c r="Q88" s="316">
        <f>$G88*(P88-'Table S-1a'!$AX$17)/($F88-'Table S-1a'!$AX$17)*(1/AC88)</f>
        <v>8.0718807934037462E-2</v>
      </c>
      <c r="R88" s="315">
        <f>(H88/(J88*10000)*1000000)/'Table S-1a'!$AX$16</f>
        <v>126.05042016806722</v>
      </c>
      <c r="S88" s="315">
        <f>(I88/(J88*10000)*1000000)/'Table S-1a'!$AV$16</f>
        <v>246.91358024691354</v>
      </c>
      <c r="T88" s="377">
        <f t="shared" ref="T88:T104" si="23">S88/R88</f>
        <v>1.9588477366255141</v>
      </c>
      <c r="U88" s="373"/>
      <c r="V88" s="330">
        <f t="shared" ref="V88:V104" si="24">H88/J88</f>
        <v>15</v>
      </c>
      <c r="W88" s="377">
        <f t="shared" ref="W88:W104" si="25">I88/J88</f>
        <v>26.666666666666664</v>
      </c>
      <c r="X88" s="380"/>
      <c r="Y88" s="332">
        <f>('Table S-1a'!AV$16*(J88/100))/H88</f>
        <v>7.2000000000000015E-3</v>
      </c>
      <c r="Z88" s="332">
        <f>('Table S-1a'!AW$16*(K88/100))/H88</f>
        <v>0</v>
      </c>
      <c r="AA88" s="332">
        <f t="shared" ref="AA88:AA104" si="26">1-(Y88+Z88)</f>
        <v>0.99280000000000002</v>
      </c>
      <c r="AB88" s="332">
        <f>('Table S-1a'!AX$16*(J88/100))/I88</f>
        <v>4.4625000000000003E-3</v>
      </c>
      <c r="AC88" s="383">
        <f t="shared" ref="AC88:AC104" si="27">1-(AB88)</f>
        <v>0.99553749999999996</v>
      </c>
    </row>
    <row r="89" spans="1:29">
      <c r="C89" s="355">
        <v>211.72</v>
      </c>
      <c r="D89" s="362">
        <v>0.15</v>
      </c>
      <c r="E89" s="322">
        <v>0.05</v>
      </c>
      <c r="F89" s="322">
        <v>1.1200000000000001</v>
      </c>
      <c r="G89" s="322">
        <v>7.0000000000000007E-2</v>
      </c>
      <c r="H89" s="323">
        <v>19</v>
      </c>
      <c r="I89" s="323">
        <v>104</v>
      </c>
      <c r="J89" s="361">
        <v>3.1</v>
      </c>
      <c r="K89" s="374"/>
      <c r="L89" s="330">
        <f t="shared" si="21"/>
        <v>18.665199999999999</v>
      </c>
      <c r="M89" s="316">
        <f>(D89-(Y89*'Table S-1a'!$AV$17)-('Table S-1a'!$AW$17*Z89))/AA89</f>
        <v>0.1580717056340141</v>
      </c>
      <c r="N89" s="316">
        <f>$E89*(M89-'Table S-1a'!$AV$17)/($D89-'Table S-1a'!$AV$17)*(1/AA89)</f>
        <v>5.1809799383322204E-2</v>
      </c>
      <c r="O89" s="331">
        <f t="shared" si="22"/>
        <v>103.6311</v>
      </c>
      <c r="P89" s="316">
        <f>(F89-(AB89*'Table S-1a'!$AX$17))/AC89</f>
        <v>1.1239869112650547</v>
      </c>
      <c r="Q89" s="316">
        <f>$G89*(P89-'Table S-1a'!$AX$17)/($F89-'Table S-1a'!$AX$17)*(1/AC89)</f>
        <v>7.0499250931649438E-2</v>
      </c>
      <c r="R89" s="315">
        <f>(H89/(J89*10000)*1000000)/'Table S-1a'!$AX$16</f>
        <v>51.50447275684467</v>
      </c>
      <c r="S89" s="315">
        <f>(I89/(J89*10000)*1000000)/'Table S-1a'!$AV$16</f>
        <v>310.63321385902032</v>
      </c>
      <c r="T89" s="377">
        <f t="shared" si="23"/>
        <v>6.0311890838206637</v>
      </c>
      <c r="U89" s="373"/>
      <c r="V89" s="330">
        <f t="shared" si="24"/>
        <v>6.129032258064516</v>
      </c>
      <c r="W89" s="377">
        <f t="shared" si="25"/>
        <v>33.548387096774192</v>
      </c>
      <c r="X89" s="380"/>
      <c r="Y89" s="332">
        <f>('Table S-1a'!AV$16*(J89/100))/H89</f>
        <v>1.762105263157895E-2</v>
      </c>
      <c r="Z89" s="332">
        <f>('Table S-1a'!AW$16*(K89/100))/H89</f>
        <v>0</v>
      </c>
      <c r="AA89" s="332">
        <f t="shared" si="26"/>
        <v>0.98237894736842102</v>
      </c>
      <c r="AB89" s="332">
        <f>('Table S-1a'!AX$16*(J89/100))/I89</f>
        <v>3.5471153846153847E-3</v>
      </c>
      <c r="AC89" s="383">
        <f t="shared" si="27"/>
        <v>0.99645288461538462</v>
      </c>
    </row>
    <row r="90" spans="1:29">
      <c r="C90" s="355">
        <v>211.38</v>
      </c>
      <c r="D90" s="362">
        <v>0.18</v>
      </c>
      <c r="E90" s="322">
        <v>0.1</v>
      </c>
      <c r="F90" s="322">
        <v>1.28</v>
      </c>
      <c r="G90" s="322">
        <v>0.21</v>
      </c>
      <c r="H90" s="323">
        <v>5</v>
      </c>
      <c r="I90" s="323">
        <v>25</v>
      </c>
      <c r="J90" s="363">
        <v>1.2</v>
      </c>
      <c r="K90" s="374"/>
      <c r="L90" s="330">
        <f t="shared" si="21"/>
        <v>4.8704000000000001</v>
      </c>
      <c r="M90" s="316">
        <f>(D90-(Y90*'Table S-1a'!$AV$17)-('Table S-1a'!$AW$17*Z90))/AA90</f>
        <v>0.19277266754270697</v>
      </c>
      <c r="N90" s="316">
        <f>$E90*(M90-'Table S-1a'!$AV$17)/($D90-'Table S-1a'!$AV$17)*(1/AA90)</f>
        <v>0.10539275255084862</v>
      </c>
      <c r="O90" s="331">
        <f t="shared" si="22"/>
        <v>24.857199999999999</v>
      </c>
      <c r="P90" s="316">
        <f>(F90-(AB90*'Table S-1a'!$AX$17))/AC90</f>
        <v>1.2873533624060636</v>
      </c>
      <c r="Q90" s="316">
        <f>$G90*(P90-'Table S-1a'!$AX$17)/($F90-'Table S-1a'!$AX$17)*(1/AC90)</f>
        <v>0.21241975264686369</v>
      </c>
      <c r="R90" s="315">
        <f>(H90/(J90*10000)*1000000)/'Table S-1a'!$AX$16</f>
        <v>35.0140056022409</v>
      </c>
      <c r="S90" s="315">
        <f>(I90/(J90*10000)*1000000)/'Table S-1a'!$AV$16</f>
        <v>192.90123456790124</v>
      </c>
      <c r="T90" s="377">
        <f t="shared" si="23"/>
        <v>5.5092592592592586</v>
      </c>
      <c r="U90" s="373"/>
      <c r="V90" s="330">
        <f t="shared" si="24"/>
        <v>4.166666666666667</v>
      </c>
      <c r="W90" s="377">
        <f t="shared" si="25"/>
        <v>20.833333333333336</v>
      </c>
      <c r="X90" s="380"/>
      <c r="Y90" s="332">
        <f>('Table S-1a'!AV$16*(J90/100))/H90</f>
        <v>2.5920000000000006E-2</v>
      </c>
      <c r="Z90" s="332">
        <f>('Table S-1a'!AW$16*(K90/100))/H90</f>
        <v>0</v>
      </c>
      <c r="AA90" s="332">
        <f t="shared" si="26"/>
        <v>0.97407999999999995</v>
      </c>
      <c r="AB90" s="332">
        <f>('Table S-1a'!AX$16*(J90/100))/I90</f>
        <v>5.7120000000000001E-3</v>
      </c>
      <c r="AC90" s="383">
        <f t="shared" si="27"/>
        <v>0.99428799999999995</v>
      </c>
    </row>
    <row r="91" spans="1:29">
      <c r="C91" s="355">
        <v>211.03</v>
      </c>
      <c r="D91" s="362">
        <v>0.06</v>
      </c>
      <c r="E91" s="322">
        <v>0.06</v>
      </c>
      <c r="F91" s="322">
        <v>1.33</v>
      </c>
      <c r="G91" s="322">
        <v>0.14000000000000001</v>
      </c>
      <c r="H91" s="323">
        <v>8</v>
      </c>
      <c r="I91" s="323">
        <v>27</v>
      </c>
      <c r="J91" s="361">
        <v>1.2</v>
      </c>
      <c r="K91" s="374"/>
      <c r="L91" s="330">
        <f t="shared" si="21"/>
        <v>7.8704000000000001</v>
      </c>
      <c r="M91" s="316">
        <f>(D91-(Y91*'Table S-1a'!$AV$17)-('Table S-1a'!$AW$17*Z91))/AA91</f>
        <v>6.5928034153283188E-2</v>
      </c>
      <c r="N91" s="316">
        <f>$E91*(M91-'Table S-1a'!$AV$17)/($D91-'Table S-1a'!$AV$17)*(1/AA91)</f>
        <v>6.1992280638558508E-2</v>
      </c>
      <c r="O91" s="331">
        <f t="shared" si="22"/>
        <v>26.857199999999999</v>
      </c>
      <c r="P91" s="316">
        <f>(F91-(AB91*'Table S-1a'!$AX$17))/AC91</f>
        <v>1.3370716232518656</v>
      </c>
      <c r="Q91" s="316">
        <f>$G91*(P91-'Table S-1a'!$AX$17)/($F91-'Table S-1a'!$AX$17)*(1/AC91)</f>
        <v>0.14149272067316018</v>
      </c>
      <c r="R91" s="315">
        <f>(H91/(J91*10000)*1000000)/'Table S-1a'!$AX$16</f>
        <v>56.022408963585427</v>
      </c>
      <c r="S91" s="315">
        <f>(I91/(J91*10000)*1000000)/'Table S-1a'!$AV$16</f>
        <v>208.33333333333331</v>
      </c>
      <c r="T91" s="377">
        <f t="shared" si="23"/>
        <v>3.71875</v>
      </c>
      <c r="U91" s="373"/>
      <c r="V91" s="330">
        <f t="shared" si="24"/>
        <v>6.666666666666667</v>
      </c>
      <c r="W91" s="377">
        <f t="shared" si="25"/>
        <v>22.5</v>
      </c>
      <c r="X91" s="380"/>
      <c r="Y91" s="332">
        <f>('Table S-1a'!AV$16*(J91/100))/H91</f>
        <v>1.6200000000000003E-2</v>
      </c>
      <c r="Z91" s="332">
        <f>('Table S-1a'!AW$16*(K91/100))/H91</f>
        <v>0</v>
      </c>
      <c r="AA91" s="332">
        <f t="shared" si="26"/>
        <v>0.98380000000000001</v>
      </c>
      <c r="AB91" s="332">
        <f>('Table S-1a'!AX$16*(J91/100))/I91</f>
        <v>5.288888888888889E-3</v>
      </c>
      <c r="AC91" s="383">
        <f t="shared" si="27"/>
        <v>0.9947111111111111</v>
      </c>
    </row>
    <row r="92" spans="1:29">
      <c r="C92" s="355">
        <v>210.55</v>
      </c>
      <c r="D92" s="362">
        <v>0.27</v>
      </c>
      <c r="E92" s="322">
        <v>7.0000000000000007E-2</v>
      </c>
      <c r="F92" s="322">
        <v>1.66</v>
      </c>
      <c r="G92" s="322">
        <v>0.2</v>
      </c>
      <c r="H92" s="323">
        <v>22</v>
      </c>
      <c r="I92" s="323">
        <v>95</v>
      </c>
      <c r="J92" s="361">
        <v>4.0999999999999996</v>
      </c>
      <c r="K92" s="374"/>
      <c r="L92" s="330">
        <f t="shared" si="21"/>
        <v>21.557199999999998</v>
      </c>
      <c r="M92" s="316">
        <f>(D92-(Y92*'Table S-1a'!$AV$17)-('Table S-1a'!$AW$17*Z92))/AA92</f>
        <v>0.28170819958065058</v>
      </c>
      <c r="N92" s="316">
        <f>$E92*(M92-'Table S-1a'!$AV$17)/($D92-'Table S-1a'!$AV$17)*(1/AA92)</f>
        <v>7.2905232570499676E-2</v>
      </c>
      <c r="O92" s="331">
        <f t="shared" si="22"/>
        <v>94.512100000000004</v>
      </c>
      <c r="P92" s="316">
        <f>(F92-(AB92*'Table S-1a'!$AX$17))/AC92</f>
        <v>1.668569421269869</v>
      </c>
      <c r="Q92" s="316">
        <f>$G92*(P92-'Table S-1a'!$AX$17)/($F92-'Table S-1a'!$AX$17)*(1/AC92)</f>
        <v>0.20207025066024575</v>
      </c>
      <c r="R92" s="315">
        <f>(H92/(J92*10000)*1000000)/'Table S-1a'!$AX$16</f>
        <v>45.091207214593155</v>
      </c>
      <c r="S92" s="315">
        <f>(I92/(J92*10000)*1000000)/'Table S-1a'!$AV$16</f>
        <v>214.54381210478769</v>
      </c>
      <c r="T92" s="377">
        <f t="shared" si="23"/>
        <v>4.7579966329966323</v>
      </c>
      <c r="U92" s="373"/>
      <c r="V92" s="330">
        <f t="shared" si="24"/>
        <v>5.3658536585365857</v>
      </c>
      <c r="W92" s="377">
        <f t="shared" si="25"/>
        <v>23.170731707317074</v>
      </c>
      <c r="X92" s="380"/>
      <c r="Y92" s="332">
        <f>('Table S-1a'!AV$16*(J92/100))/H92</f>
        <v>2.0127272727272726E-2</v>
      </c>
      <c r="Z92" s="332">
        <f>('Table S-1a'!AW$16*(K92/100))/H92</f>
        <v>0</v>
      </c>
      <c r="AA92" s="332">
        <f t="shared" si="26"/>
        <v>0.97987272727272723</v>
      </c>
      <c r="AB92" s="332">
        <f>('Table S-1a'!AX$16*(J92/100))/I92</f>
        <v>5.1357894736842099E-3</v>
      </c>
      <c r="AC92" s="383">
        <f t="shared" si="27"/>
        <v>0.9948642105263158</v>
      </c>
    </row>
    <row r="93" spans="1:29">
      <c r="C93" s="355">
        <v>208.78</v>
      </c>
      <c r="D93" s="362">
        <v>0.2</v>
      </c>
      <c r="E93" s="322">
        <v>0.03</v>
      </c>
      <c r="F93" s="322">
        <v>0.24</v>
      </c>
      <c r="G93" s="322">
        <v>0.21</v>
      </c>
      <c r="H93" s="323">
        <v>13</v>
      </c>
      <c r="I93" s="323">
        <v>71</v>
      </c>
      <c r="J93" s="361">
        <v>5.2</v>
      </c>
      <c r="K93" s="374"/>
      <c r="L93" s="330">
        <f t="shared" si="21"/>
        <v>12.4384</v>
      </c>
      <c r="M93" s="316">
        <f>(D93-(Y93*'Table S-1a'!$AV$17)-('Table S-1a'!$AW$17*Z93))/AA93</f>
        <v>0.22257525083612043</v>
      </c>
      <c r="N93" s="316">
        <f>$E93*(M93-'Table S-1a'!$AV$17)/($D93-'Table S-1a'!$AV$17)*(1/AA93)</f>
        <v>3.2770187134372103E-2</v>
      </c>
      <c r="O93" s="331">
        <f t="shared" si="22"/>
        <v>70.381200000000007</v>
      </c>
      <c r="P93" s="316">
        <f>(F93-(AB93*'Table S-1a'!$AX$17))/AC93</f>
        <v>0.24211010894954901</v>
      </c>
      <c r="Q93" s="316">
        <f>$G93*(P93-'Table S-1a'!$AX$17)/($F93-'Table S-1a'!$AX$17)*(1/AC93)</f>
        <v>0.2137089239525716</v>
      </c>
      <c r="R93" s="315">
        <f>(H93/(J93*10000)*1000000)/'Table S-1a'!$AX$16</f>
        <v>21.008403361344538</v>
      </c>
      <c r="S93" s="315">
        <f>(I93/(J93*10000)*1000000)/'Table S-1a'!$AV$16</f>
        <v>126.4245014245014</v>
      </c>
      <c r="T93" s="377">
        <f t="shared" si="23"/>
        <v>6.0178062678062663</v>
      </c>
      <c r="U93" s="373"/>
      <c r="V93" s="330">
        <f t="shared" si="24"/>
        <v>2.5</v>
      </c>
      <c r="W93" s="377">
        <f t="shared" si="25"/>
        <v>13.653846153846153</v>
      </c>
      <c r="X93" s="380"/>
      <c r="Y93" s="332">
        <f>('Table S-1a'!AV$16*(J93/100))/H93</f>
        <v>4.3200000000000009E-2</v>
      </c>
      <c r="Z93" s="332">
        <f>('Table S-1a'!AW$16*(K93/100))/H93</f>
        <v>0</v>
      </c>
      <c r="AA93" s="332">
        <f t="shared" si="26"/>
        <v>0.95679999999999998</v>
      </c>
      <c r="AB93" s="332">
        <f>('Table S-1a'!AX$16*(J93/100))/I93</f>
        <v>8.7154929577464811E-3</v>
      </c>
      <c r="AC93" s="383">
        <f t="shared" si="27"/>
        <v>0.99128450704225357</v>
      </c>
    </row>
    <row r="94" spans="1:29">
      <c r="C94" s="355">
        <v>208.75</v>
      </c>
      <c r="D94" s="362">
        <v>0.25</v>
      </c>
      <c r="E94" s="322">
        <v>7.0000000000000007E-2</v>
      </c>
      <c r="F94" s="322">
        <v>0.14000000000000001</v>
      </c>
      <c r="G94" s="322">
        <v>0.13</v>
      </c>
      <c r="H94" s="323">
        <v>14</v>
      </c>
      <c r="I94" s="323">
        <v>145</v>
      </c>
      <c r="J94" s="361">
        <v>5.2</v>
      </c>
      <c r="K94" s="374"/>
      <c r="L94" s="330">
        <f t="shared" si="21"/>
        <v>13.4384</v>
      </c>
      <c r="M94" s="316">
        <f>(D94-(Y94*'Table S-1a'!$AV$17)-('Table S-1a'!$AW$17*Z94))/AA94</f>
        <v>0.27298487915228004</v>
      </c>
      <c r="N94" s="316">
        <f>$E94*(M94-'Table S-1a'!$AV$17)/($D94-'Table S-1a'!$AV$17)*(1/AA94)</f>
        <v>7.5972948831737885E-2</v>
      </c>
      <c r="O94" s="331">
        <f t="shared" si="22"/>
        <v>144.38120000000001</v>
      </c>
      <c r="P94" s="316">
        <f>(F94-(AB94*'Table S-1a'!$AX$17))/AC94</f>
        <v>0.14060002271763916</v>
      </c>
      <c r="Q94" s="316">
        <f>$G94*(P94-'Table S-1a'!$AX$17)/($F94-'Table S-1a'!$AX$17)*(1/AC94)</f>
        <v>0.13111671584010631</v>
      </c>
      <c r="R94" s="315">
        <f>(H94/(J94*10000)*1000000)/'Table S-1a'!$AX$16</f>
        <v>22.624434389140269</v>
      </c>
      <c r="S94" s="315">
        <f>(I94/(J94*10000)*1000000)/'Table S-1a'!$AV$16</f>
        <v>258.19088319088314</v>
      </c>
      <c r="T94" s="377">
        <f t="shared" si="23"/>
        <v>11.412037037037036</v>
      </c>
      <c r="U94" s="373"/>
      <c r="V94" s="330">
        <f t="shared" si="24"/>
        <v>2.6923076923076921</v>
      </c>
      <c r="W94" s="377">
        <f t="shared" si="25"/>
        <v>27.884615384615383</v>
      </c>
      <c r="X94" s="380"/>
      <c r="Y94" s="332">
        <f>('Table S-1a'!AV$16*(J94/100))/H94</f>
        <v>4.011428571428572E-2</v>
      </c>
      <c r="Z94" s="332">
        <f>('Table S-1a'!AW$16*(K94/100))/H94</f>
        <v>0</v>
      </c>
      <c r="AA94" s="332">
        <f t="shared" si="26"/>
        <v>0.95988571428571423</v>
      </c>
      <c r="AB94" s="332">
        <f>('Table S-1a'!AX$16*(J94/100))/I94</f>
        <v>4.2675862068965523E-3</v>
      </c>
      <c r="AC94" s="383">
        <f t="shared" si="27"/>
        <v>0.9957324137931034</v>
      </c>
    </row>
    <row r="95" spans="1:29">
      <c r="C95" s="355">
        <v>208.49</v>
      </c>
      <c r="D95" s="362">
        <v>0.3</v>
      </c>
      <c r="E95" s="322">
        <v>0.1</v>
      </c>
      <c r="F95" s="322">
        <v>0.09</v>
      </c>
      <c r="G95" s="322">
        <v>0.09</v>
      </c>
      <c r="H95" s="323">
        <v>13</v>
      </c>
      <c r="I95" s="323">
        <v>102</v>
      </c>
      <c r="J95" s="361">
        <v>4.9000000000000004</v>
      </c>
      <c r="K95" s="374"/>
      <c r="L95" s="330">
        <f t="shared" si="21"/>
        <v>12.470800000000001</v>
      </c>
      <c r="M95" s="316">
        <f>(D95-(Y95*'Table S-1a'!$AV$17)-('Table S-1a'!$AW$17*Z95))/AA95</f>
        <v>0.32546107707604965</v>
      </c>
      <c r="N95" s="316">
        <f>$E95*(M95-'Table S-1a'!$AV$17)/($D95-'Table S-1a'!$AV$17)*(1/AA95)</f>
        <v>0.10866709970475892</v>
      </c>
      <c r="O95" s="331">
        <f t="shared" si="22"/>
        <v>101.4169</v>
      </c>
      <c r="P95" s="316">
        <f>(F95-(AB95*'Table S-1a'!$AX$17))/AC95</f>
        <v>9.0517458135675619E-2</v>
      </c>
      <c r="Q95" s="316">
        <f>$G95*(P95-'Table S-1a'!$AX$17)/($F95-'Table S-1a'!$AX$17)*(1/AC95)</f>
        <v>9.1037891414930988E-2</v>
      </c>
      <c r="R95" s="315">
        <f>(H95/(J95*10000)*1000000)/'Table S-1a'!$AX$16</f>
        <v>22.29463213856971</v>
      </c>
      <c r="S95" s="315">
        <f>(I95/(J95*10000)*1000000)/'Table S-1a'!$AV$16</f>
        <v>192.7437641723356</v>
      </c>
      <c r="T95" s="377">
        <f t="shared" si="23"/>
        <v>8.6452991452991466</v>
      </c>
      <c r="U95" s="373"/>
      <c r="V95" s="330">
        <f t="shared" si="24"/>
        <v>2.6530612244897958</v>
      </c>
      <c r="W95" s="377">
        <f t="shared" si="25"/>
        <v>20.816326530612244</v>
      </c>
      <c r="X95" s="380"/>
      <c r="Y95" s="332">
        <f>('Table S-1a'!AV$16*(J95/100))/H95</f>
        <v>4.0707692307692306E-2</v>
      </c>
      <c r="Z95" s="332">
        <f>('Table S-1a'!AW$16*(K95/100))/H95</f>
        <v>0</v>
      </c>
      <c r="AA95" s="332">
        <f t="shared" si="26"/>
        <v>0.95929230769230767</v>
      </c>
      <c r="AB95" s="332">
        <f>('Table S-1a'!AX$16*(J95/100))/I95</f>
        <v>5.7166666666666676E-3</v>
      </c>
      <c r="AC95" s="383">
        <f t="shared" si="27"/>
        <v>0.9942833333333333</v>
      </c>
    </row>
    <row r="96" spans="1:29">
      <c r="C96" s="355">
        <v>208.29</v>
      </c>
      <c r="D96" s="362">
        <v>0.15</v>
      </c>
      <c r="E96" s="322">
        <v>0.14000000000000001</v>
      </c>
      <c r="F96" s="338">
        <v>1.0000000000000001E-5</v>
      </c>
      <c r="G96" s="322">
        <v>0.18</v>
      </c>
      <c r="H96" s="323">
        <v>15</v>
      </c>
      <c r="I96" s="323">
        <v>261</v>
      </c>
      <c r="J96" s="361">
        <v>4.4000000000000004</v>
      </c>
      <c r="K96" s="374"/>
      <c r="L96" s="330">
        <f t="shared" si="21"/>
        <v>14.524799999999999</v>
      </c>
      <c r="M96" s="316">
        <f>(D96-(Y96*'Table S-1a'!$AV$17)-('Table S-1a'!$AW$17*Z96))/AA96</f>
        <v>0.1647224058162591</v>
      </c>
      <c r="N96" s="316">
        <f>$E96*(M96-'Table S-1a'!$AV$17)/($D96-'Table S-1a'!$AV$17)*(1/AA96)</f>
        <v>0.14931045938504328</v>
      </c>
      <c r="O96" s="331">
        <f t="shared" si="22"/>
        <v>260.47640000000001</v>
      </c>
      <c r="P96" s="316">
        <f>(F96-(AB96*'Table S-1a'!$AX$17))/AC96</f>
        <v>1.0020101629168708E-5</v>
      </c>
      <c r="Q96" s="316">
        <f>$G96*(P96-'Table S-1a'!$AX$17)/($F96-'Table S-1a'!$AX$17)*(1/AC96)</f>
        <v>0.18072438598596485</v>
      </c>
      <c r="R96" s="315">
        <f>(H96/(J96*10000)*1000000)/'Table S-1a'!$AX$16</f>
        <v>28.647822765469826</v>
      </c>
      <c r="S96" s="315">
        <f>(I96/(J96*10000)*1000000)/'Table S-1a'!$AV$16</f>
        <v>549.24242424242425</v>
      </c>
      <c r="T96" s="377">
        <f t="shared" si="23"/>
        <v>19.172222222222221</v>
      </c>
      <c r="U96" s="373"/>
      <c r="V96" s="330">
        <f t="shared" si="24"/>
        <v>3.4090909090909087</v>
      </c>
      <c r="W96" s="377">
        <f t="shared" si="25"/>
        <v>59.318181818181813</v>
      </c>
      <c r="X96" s="380"/>
      <c r="Y96" s="332">
        <f>('Table S-1a'!AV$16*(J96/100))/H96</f>
        <v>3.1680000000000007E-2</v>
      </c>
      <c r="Z96" s="332">
        <f>('Table S-1a'!AW$16*(K96/100))/H96</f>
        <v>0</v>
      </c>
      <c r="AA96" s="332">
        <f t="shared" si="26"/>
        <v>0.96831999999999996</v>
      </c>
      <c r="AB96" s="332">
        <f>('Table S-1a'!AX$16*(J96/100))/I96</f>
        <v>2.0061302681992342E-3</v>
      </c>
      <c r="AC96" s="383">
        <f t="shared" si="27"/>
        <v>0.99799386973180082</v>
      </c>
    </row>
    <row r="97" spans="1:32">
      <c r="C97" s="355">
        <v>207.95</v>
      </c>
      <c r="D97" s="362">
        <v>0.24</v>
      </c>
      <c r="E97" s="322">
        <v>7.0000000000000007E-2</v>
      </c>
      <c r="F97" s="322">
        <v>-0.26</v>
      </c>
      <c r="G97" s="322">
        <v>0.16</v>
      </c>
      <c r="H97" s="323">
        <v>13</v>
      </c>
      <c r="I97" s="323">
        <v>164</v>
      </c>
      <c r="J97" s="361">
        <v>6.2</v>
      </c>
      <c r="K97" s="374"/>
      <c r="L97" s="330">
        <f t="shared" si="21"/>
        <v>12.330399999999999</v>
      </c>
      <c r="M97" s="316">
        <f>(D97-(Y97*'Table S-1a'!$AV$17)-('Table S-1a'!$AW$17*Z97))/AA97</f>
        <v>0.26932459612015835</v>
      </c>
      <c r="N97" s="316">
        <f>$E97*(M97-'Table S-1a'!$AV$17)/($D97-'Table S-1a'!$AV$17)*(1/AA97)</f>
        <v>7.7809103917409805E-2</v>
      </c>
      <c r="O97" s="331">
        <f t="shared" si="22"/>
        <v>163.26220000000001</v>
      </c>
      <c r="P97" s="316">
        <f>(F97-(AB97*'Table S-1a'!$AX$17))/AC97</f>
        <v>-0.26117496885378244</v>
      </c>
      <c r="Q97" s="316">
        <f>$G97*(P97-'Table S-1a'!$AX$17)/($F97-'Table S-1a'!$AX$17)*(1/AC97)</f>
        <v>0.16144938309058987</v>
      </c>
      <c r="R97" s="315">
        <f>(H97/(J97*10000)*1000000)/'Table S-1a'!$AX$16</f>
        <v>17.619951206288967</v>
      </c>
      <c r="S97" s="315">
        <f>(I97/(J97*10000)*1000000)/'Table S-1a'!$AV$16</f>
        <v>244.92234169653523</v>
      </c>
      <c r="T97" s="377">
        <f t="shared" si="23"/>
        <v>13.9002849002849</v>
      </c>
      <c r="U97" s="373"/>
      <c r="V97" s="330">
        <f t="shared" si="24"/>
        <v>2.096774193548387</v>
      </c>
      <c r="W97" s="377">
        <f t="shared" si="25"/>
        <v>26.451612903225804</v>
      </c>
      <c r="X97" s="380"/>
      <c r="Y97" s="332">
        <f>('Table S-1a'!AV$16*(J97/100))/H97</f>
        <v>5.1507692307692317E-2</v>
      </c>
      <c r="Z97" s="332">
        <f>('Table S-1a'!AW$16*(K97/100))/H97</f>
        <v>0</v>
      </c>
      <c r="AA97" s="332">
        <f t="shared" si="26"/>
        <v>0.94849230769230763</v>
      </c>
      <c r="AB97" s="332">
        <f>('Table S-1a'!AX$16*(J97/100))/I97</f>
        <v>4.4987804878048781E-3</v>
      </c>
      <c r="AC97" s="383">
        <f t="shared" si="27"/>
        <v>0.99550121951219517</v>
      </c>
    </row>
    <row r="98" spans="1:32">
      <c r="C98" s="355">
        <v>207.46</v>
      </c>
      <c r="D98" s="362">
        <v>0.2</v>
      </c>
      <c r="E98" s="322">
        <v>7.0000000000000007E-2</v>
      </c>
      <c r="F98" s="322">
        <v>0.21</v>
      </c>
      <c r="G98" s="322">
        <v>0.18</v>
      </c>
      <c r="H98" s="323">
        <v>16</v>
      </c>
      <c r="I98" s="323">
        <v>58</v>
      </c>
      <c r="J98" s="361">
        <v>6.6</v>
      </c>
      <c r="K98" s="374"/>
      <c r="L98" s="330">
        <f t="shared" si="21"/>
        <v>15.2872</v>
      </c>
      <c r="M98" s="316">
        <f>(D98-(Y98*'Table S-1a'!$AV$17)-('Table S-1a'!$AW$17*Z98))/AA98</f>
        <v>0.22331362185357687</v>
      </c>
      <c r="N98" s="316">
        <f>$E98*(M98-'Table S-1a'!$AV$17)/($D98-'Table S-1a'!$AV$17)*(1/AA98)</f>
        <v>7.6680001108902371E-2</v>
      </c>
      <c r="O98" s="331">
        <f t="shared" si="22"/>
        <v>57.214599999999997</v>
      </c>
      <c r="P98" s="316">
        <f>(F98-(AB98*'Table S-1a'!$AX$17))/AC98</f>
        <v>0.21288272573783615</v>
      </c>
      <c r="Q98" s="316">
        <f>$G98*(P98-'Table S-1a'!$AX$17)/($F98-'Table S-1a'!$AX$17)*(1/AC98)</f>
        <v>0.1849757343574317</v>
      </c>
      <c r="R98" s="315">
        <f>(H98/(J98*10000)*1000000)/'Table S-1a'!$AX$16</f>
        <v>20.371785077667429</v>
      </c>
      <c r="S98" s="315">
        <f>(I98/(J98*10000)*1000000)/'Table S-1a'!$AV$16</f>
        <v>81.369248035914694</v>
      </c>
      <c r="T98" s="377">
        <f t="shared" si="23"/>
        <v>3.9942129629629628</v>
      </c>
      <c r="U98" s="373"/>
      <c r="V98" s="330">
        <f t="shared" si="24"/>
        <v>2.4242424242424243</v>
      </c>
      <c r="W98" s="377">
        <f t="shared" si="25"/>
        <v>8.787878787878789</v>
      </c>
      <c r="X98" s="380"/>
      <c r="Y98" s="332">
        <f>('Table S-1a'!AV$16*(J98/100))/H98</f>
        <v>4.4550000000000006E-2</v>
      </c>
      <c r="Z98" s="332">
        <f>('Table S-1a'!AW$16*(K98/100))/H98</f>
        <v>0</v>
      </c>
      <c r="AA98" s="332">
        <f t="shared" si="26"/>
        <v>0.95545000000000002</v>
      </c>
      <c r="AB98" s="332">
        <f>('Table S-1a'!AX$16*(J98/100))/I98</f>
        <v>1.3541379310344829E-2</v>
      </c>
      <c r="AC98" s="383">
        <f t="shared" si="27"/>
        <v>0.98645862068965517</v>
      </c>
    </row>
    <row r="99" spans="1:32">
      <c r="C99" s="355">
        <v>207.35</v>
      </c>
      <c r="D99" s="362">
        <v>0.3</v>
      </c>
      <c r="E99" s="322">
        <v>0.06</v>
      </c>
      <c r="F99" s="322">
        <v>-0.5</v>
      </c>
      <c r="G99" s="322">
        <v>0.11</v>
      </c>
      <c r="H99" s="323">
        <v>18</v>
      </c>
      <c r="I99" s="323">
        <v>210</v>
      </c>
      <c r="J99" s="361">
        <v>4.8</v>
      </c>
      <c r="K99" s="374"/>
      <c r="L99" s="330">
        <f t="shared" si="21"/>
        <v>17.4816</v>
      </c>
      <c r="M99" s="316">
        <f>(D99-(Y99*'Table S-1a'!$AV$17)-('Table S-1a'!$AW$17*Z99))/AA99</f>
        <v>0.31779242174629324</v>
      </c>
      <c r="N99" s="316">
        <f>$E99*(M99-'Table S-1a'!$AV$17)/($D99-'Table S-1a'!$AV$17)*(1/AA99)</f>
        <v>6.3611246061191645E-2</v>
      </c>
      <c r="O99" s="331">
        <f t="shared" si="22"/>
        <v>209.4288</v>
      </c>
      <c r="P99" s="316">
        <f>(F99-(AB99*'Table S-1a'!$AX$17))/AC99</f>
        <v>-0.50136370928926688</v>
      </c>
      <c r="Q99" s="316">
        <f>$G99*(P99-'Table S-1a'!$AX$17)/($F99-'Table S-1a'!$AX$17)*(1/AC99)</f>
        <v>0.11060085035660872</v>
      </c>
      <c r="R99" s="315">
        <f>(H99/(J99*10000)*1000000)/'Table S-1a'!$AX$16</f>
        <v>31.512605042016805</v>
      </c>
      <c r="S99" s="315">
        <f>(I99/(J99*10000)*1000000)/'Table S-1a'!$AV$16</f>
        <v>405.09259259259255</v>
      </c>
      <c r="T99" s="377">
        <f t="shared" si="23"/>
        <v>12.854938271604938</v>
      </c>
      <c r="U99" s="373"/>
      <c r="V99" s="330">
        <f t="shared" si="24"/>
        <v>3.75</v>
      </c>
      <c r="W99" s="377">
        <f t="shared" si="25"/>
        <v>43.75</v>
      </c>
      <c r="X99" s="380"/>
      <c r="Y99" s="332">
        <f>('Table S-1a'!AV$16*(J99/100))/H99</f>
        <v>2.8800000000000006E-2</v>
      </c>
      <c r="Z99" s="332">
        <f>('Table S-1a'!AW$16*(K99/100))/H99</f>
        <v>0</v>
      </c>
      <c r="AA99" s="332">
        <f t="shared" si="26"/>
        <v>0.97119999999999995</v>
      </c>
      <c r="AB99" s="332">
        <f>('Table S-1a'!AX$16*(J99/100))/I99</f>
        <v>2.7200000000000002E-3</v>
      </c>
      <c r="AC99" s="383">
        <f t="shared" si="27"/>
        <v>0.99727999999999994</v>
      </c>
    </row>
    <row r="100" spans="1:32">
      <c r="C100" s="355">
        <v>207.22</v>
      </c>
      <c r="D100" s="362">
        <v>0.09</v>
      </c>
      <c r="E100" s="322">
        <v>0.04</v>
      </c>
      <c r="F100" s="322">
        <v>0.09</v>
      </c>
      <c r="G100" s="322">
        <v>0.15</v>
      </c>
      <c r="H100" s="323">
        <v>15</v>
      </c>
      <c r="I100" s="323">
        <v>44</v>
      </c>
      <c r="J100" s="361">
        <v>6.7</v>
      </c>
      <c r="K100" s="374"/>
      <c r="L100" s="330">
        <f t="shared" si="21"/>
        <v>14.276399999999999</v>
      </c>
      <c r="M100" s="316">
        <f>(D100-(Y100*'Table S-1a'!$AV$17)-('Table S-1a'!$AW$17*Z100))/AA100</f>
        <v>0.10976716819366227</v>
      </c>
      <c r="N100" s="316">
        <f>$E100*(M100-'Table S-1a'!$AV$17)/($D100-'Table S-1a'!$AV$17)*(1/AA100)</f>
        <v>4.4157562690191478E-2</v>
      </c>
      <c r="O100" s="331">
        <f t="shared" si="22"/>
        <v>43.2027</v>
      </c>
      <c r="P100" s="316">
        <f>(F100-(AB100*'Table S-1a'!$AX$17))/AC100</f>
        <v>9.1660937858050531E-2</v>
      </c>
      <c r="Q100" s="316">
        <f>$G100*(P100-'Table S-1a'!$AX$17)/($F100-'Table S-1a'!$AX$17)*(1/AC100)</f>
        <v>0.15558754683365561</v>
      </c>
      <c r="R100" s="315">
        <f>(H100/(J100*10000)*1000000)/'Table S-1a'!$AX$16</f>
        <v>18.813495547472719</v>
      </c>
      <c r="S100" s="315">
        <f>(I100/(J100*10000)*1000000)/'Table S-1a'!$AV$16</f>
        <v>60.807075732448872</v>
      </c>
      <c r="T100" s="377">
        <f t="shared" si="23"/>
        <v>3.2320987654320992</v>
      </c>
      <c r="U100" s="373"/>
      <c r="V100" s="330">
        <f t="shared" si="24"/>
        <v>2.2388059701492535</v>
      </c>
      <c r="W100" s="377">
        <f t="shared" si="25"/>
        <v>6.567164179104477</v>
      </c>
      <c r="X100" s="380"/>
      <c r="Y100" s="332">
        <f>('Table S-1a'!AV$16*(J100/100))/H100</f>
        <v>4.8240000000000012E-2</v>
      </c>
      <c r="Z100" s="332">
        <f>('Table S-1a'!AW$16*(K100/100))/H100</f>
        <v>0</v>
      </c>
      <c r="AA100" s="332">
        <f t="shared" si="26"/>
        <v>0.95175999999999994</v>
      </c>
      <c r="AB100" s="332">
        <f>('Table S-1a'!AX$16*(J100/100))/I100</f>
        <v>1.8120454545454547E-2</v>
      </c>
      <c r="AC100" s="383">
        <f t="shared" si="27"/>
        <v>0.98187954545454548</v>
      </c>
    </row>
    <row r="101" spans="1:32">
      <c r="C101" s="355">
        <v>207.2</v>
      </c>
      <c r="D101" s="362">
        <v>0.23</v>
      </c>
      <c r="E101" s="322">
        <v>0.05</v>
      </c>
      <c r="F101" s="322">
        <v>-0.34</v>
      </c>
      <c r="G101" s="322">
        <v>0.11</v>
      </c>
      <c r="H101" s="323">
        <v>18</v>
      </c>
      <c r="I101" s="323">
        <v>125</v>
      </c>
      <c r="J101" s="361">
        <v>5.9</v>
      </c>
      <c r="K101" s="374"/>
      <c r="L101" s="330">
        <f t="shared" si="21"/>
        <v>17.3628</v>
      </c>
      <c r="M101" s="316">
        <f>(D101-(Y101*'Table S-1a'!$AV$17)-('Table S-1a'!$AW$17*Z101))/AA101</f>
        <v>0.24945054945054945</v>
      </c>
      <c r="N101" s="316">
        <f>$E101*(M101-'Table S-1a'!$AV$17)/($D101-'Table S-1a'!$AV$17)*(1/AA101)</f>
        <v>5.373725637086342E-2</v>
      </c>
      <c r="O101" s="331">
        <f t="shared" si="22"/>
        <v>124.2979</v>
      </c>
      <c r="P101" s="316">
        <f>(F101-(AB101*'Table S-1a'!$AX$17))/AC101</f>
        <v>-0.34192049905911526</v>
      </c>
      <c r="Q101" s="316">
        <f>$G101*(P101-'Table S-1a'!$AX$17)/($F101-'Table S-1a'!$AX$17)*(1/AC101)</f>
        <v>0.11124618550563829</v>
      </c>
      <c r="R101" s="315">
        <f>(H101/(J101*10000)*1000000)/'Table S-1a'!$AX$16</f>
        <v>25.637373593505199</v>
      </c>
      <c r="S101" s="315">
        <f>(I101/(J101*10000)*1000000)/'Table S-1a'!$AV$16</f>
        <v>196.17074701820465</v>
      </c>
      <c r="T101" s="377">
        <f t="shared" si="23"/>
        <v>7.6517489711934159</v>
      </c>
      <c r="U101" s="373"/>
      <c r="V101" s="330">
        <f t="shared" si="24"/>
        <v>3.0508474576271185</v>
      </c>
      <c r="W101" s="377">
        <f t="shared" si="25"/>
        <v>21.1864406779661</v>
      </c>
      <c r="X101" s="380"/>
      <c r="Y101" s="332">
        <f>('Table S-1a'!AV$16*(J101/100))/H101</f>
        <v>3.5400000000000008E-2</v>
      </c>
      <c r="Z101" s="332">
        <f>('Table S-1a'!AW$16*(K101/100))/H101</f>
        <v>0</v>
      </c>
      <c r="AA101" s="332">
        <f t="shared" si="26"/>
        <v>0.96460000000000001</v>
      </c>
      <c r="AB101" s="332">
        <f>('Table S-1a'!AX$16*(J101/100))/I101</f>
        <v>5.6168000000000008E-3</v>
      </c>
      <c r="AC101" s="383">
        <f t="shared" si="27"/>
        <v>0.99438320000000002</v>
      </c>
    </row>
    <row r="102" spans="1:32">
      <c r="C102" s="355">
        <v>207.12</v>
      </c>
      <c r="D102" s="362">
        <v>0.21</v>
      </c>
      <c r="E102" s="322">
        <v>0.05</v>
      </c>
      <c r="F102" s="322">
        <v>-0.11</v>
      </c>
      <c r="G102" s="322">
        <v>0.17</v>
      </c>
      <c r="H102" s="323">
        <v>17</v>
      </c>
      <c r="I102" s="323">
        <v>73</v>
      </c>
      <c r="J102" s="361">
        <v>6.1</v>
      </c>
      <c r="K102" s="374"/>
      <c r="L102" s="330">
        <f t="shared" si="21"/>
        <v>16.341200000000001</v>
      </c>
      <c r="M102" s="316">
        <f>(D102-(Y102*'Table S-1a'!$AV$17)-('Table S-1a'!$AW$17*Z102))/AA102</f>
        <v>0.23056079112917044</v>
      </c>
      <c r="N102" s="316">
        <f>$E102*(M102-'Table S-1a'!$AV$17)/($D102-'Table S-1a'!$AV$17)*(1/AA102)</f>
        <v>5.4112793749252437E-2</v>
      </c>
      <c r="O102" s="331">
        <f t="shared" si="22"/>
        <v>72.274100000000004</v>
      </c>
      <c r="P102" s="316">
        <f>(F102-(AB102*'Table S-1a'!$AX$17))/AC102</f>
        <v>-0.1111048079464151</v>
      </c>
      <c r="Q102" s="316">
        <f>$G102*(P102-'Table S-1a'!$AX$17)/($F102-'Table S-1a'!$AX$17)*(1/AC102)</f>
        <v>0.17343200985931104</v>
      </c>
      <c r="R102" s="315">
        <f>(H102/(J102*10000)*1000000)/'Table S-1a'!$AX$16</f>
        <v>23.419203747072597</v>
      </c>
      <c r="S102" s="315">
        <f>(I102/(J102*10000)*1000000)/'Table S-1a'!$AV$16</f>
        <v>110.80752884031573</v>
      </c>
      <c r="T102" s="377">
        <f t="shared" si="23"/>
        <v>4.7314814814814818</v>
      </c>
      <c r="U102" s="373"/>
      <c r="V102" s="330">
        <f t="shared" si="24"/>
        <v>2.7868852459016393</v>
      </c>
      <c r="W102" s="377">
        <f t="shared" si="25"/>
        <v>11.967213114754099</v>
      </c>
      <c r="X102" s="380"/>
      <c r="Y102" s="332">
        <f>('Table S-1a'!AV$16*(J102/100))/H102</f>
        <v>3.8752941176470594E-2</v>
      </c>
      <c r="Z102" s="332">
        <f>('Table S-1a'!AW$16*(K102/100))/H102</f>
        <v>0</v>
      </c>
      <c r="AA102" s="332">
        <f t="shared" si="26"/>
        <v>0.96124705882352945</v>
      </c>
      <c r="AB102" s="332">
        <f>('Table S-1a'!AX$16*(J102/100))/I102</f>
        <v>9.9438356164383568E-3</v>
      </c>
      <c r="AC102" s="383">
        <f t="shared" si="27"/>
        <v>0.9900561643835617</v>
      </c>
    </row>
    <row r="103" spans="1:32">
      <c r="C103" s="355">
        <v>206.95</v>
      </c>
      <c r="D103" s="362">
        <v>0.28000000000000003</v>
      </c>
      <c r="E103" s="322">
        <v>0.1</v>
      </c>
      <c r="F103" s="322">
        <v>-0.21</v>
      </c>
      <c r="G103" s="322">
        <v>0.13</v>
      </c>
      <c r="H103" s="323">
        <v>19</v>
      </c>
      <c r="I103" s="323">
        <v>94</v>
      </c>
      <c r="J103" s="361">
        <v>6.6</v>
      </c>
      <c r="K103" s="374"/>
      <c r="L103" s="330">
        <f t="shared" si="21"/>
        <v>18.287200000000002</v>
      </c>
      <c r="M103" s="316">
        <f>(D103-(Y103*'Table S-1a'!$AV$17)-('Table S-1a'!$AW$17*Z103))/AA103</f>
        <v>0.30260728815783716</v>
      </c>
      <c r="N103" s="316">
        <f>$E103*(M103-'Table S-1a'!$AV$17)/($D103-'Table S-1a'!$AV$17)*(1/AA103)</f>
        <v>0.10794754570182598</v>
      </c>
      <c r="O103" s="331">
        <f t="shared" si="22"/>
        <v>93.214600000000004</v>
      </c>
      <c r="P103" s="316">
        <f>(F103-(AB103*'Table S-1a'!$AX$17))/AC103</f>
        <v>-0.21176940093075547</v>
      </c>
      <c r="Q103" s="316">
        <f>$G103*(P103-'Table S-1a'!$AX$17)/($F103-'Table S-1a'!$AX$17)*(1/AC103)</f>
        <v>0.13219991592231833</v>
      </c>
      <c r="R103" s="315">
        <f>(H103/(J103*10000)*1000000)/'Table S-1a'!$AX$16</f>
        <v>24.191494779730071</v>
      </c>
      <c r="S103" s="315">
        <f>(I103/(J103*10000)*1000000)/'Table S-1a'!$AV$16</f>
        <v>131.87429854096521</v>
      </c>
      <c r="T103" s="377">
        <f t="shared" si="23"/>
        <v>5.4512670565302148</v>
      </c>
      <c r="U103" s="373"/>
      <c r="V103" s="330">
        <f t="shared" si="24"/>
        <v>2.8787878787878789</v>
      </c>
      <c r="W103" s="377">
        <f t="shared" si="25"/>
        <v>14.242424242424244</v>
      </c>
      <c r="X103" s="380"/>
      <c r="Y103" s="332">
        <f>('Table S-1a'!AV$16*(J103/100))/H103</f>
        <v>3.7515789473684218E-2</v>
      </c>
      <c r="Z103" s="332">
        <f>('Table S-1a'!AW$16*(K103/100))/H103</f>
        <v>0</v>
      </c>
      <c r="AA103" s="332">
        <f t="shared" si="26"/>
        <v>0.96248421052631583</v>
      </c>
      <c r="AB103" s="332">
        <f>('Table S-1a'!AX$16*(J103/100))/I103</f>
        <v>8.3553191489361706E-3</v>
      </c>
      <c r="AC103" s="383">
        <f t="shared" si="27"/>
        <v>0.99164468085106383</v>
      </c>
    </row>
    <row r="104" spans="1:32">
      <c r="C104" s="355">
        <v>206.59</v>
      </c>
      <c r="D104" s="362">
        <v>0.2</v>
      </c>
      <c r="E104" s="322">
        <v>0.1</v>
      </c>
      <c r="F104" s="322">
        <v>-0.35</v>
      </c>
      <c r="G104" s="322">
        <v>0.02</v>
      </c>
      <c r="H104" s="323">
        <v>20</v>
      </c>
      <c r="I104" s="323">
        <v>77</v>
      </c>
      <c r="J104" s="361">
        <v>5.7</v>
      </c>
      <c r="K104" s="374"/>
      <c r="L104" s="330">
        <f t="shared" si="21"/>
        <v>19.384399999999999</v>
      </c>
      <c r="M104" s="316">
        <f>(D104-(Y104*'Table S-1a'!$AV$17)-('Table S-1a'!$AW$17*Z104))/AA104</f>
        <v>0.21587874785910321</v>
      </c>
      <c r="N104" s="316">
        <f>$E104*(M104-'Table S-1a'!$AV$17)/($D104-'Table S-1a'!$AV$17)*(1/AA104)</f>
        <v>0.10645235299707047</v>
      </c>
      <c r="O104" s="331">
        <f t="shared" si="22"/>
        <v>76.321700000000007</v>
      </c>
      <c r="P104" s="316">
        <f>(F104-(AB104*'Table S-1a'!$AX$17))/AC104</f>
        <v>-0.35311058322862304</v>
      </c>
      <c r="Q104" s="316">
        <f>$G104*(P104-'Table S-1a'!$AX$17)/($F104-'Table S-1a'!$AX$17)*(1/AC104)</f>
        <v>2.0357074936825849E-2</v>
      </c>
      <c r="R104" s="315">
        <f>(H104/(J104*10000)*1000000)/'Table S-1a'!$AX$16</f>
        <v>29.485478401887068</v>
      </c>
      <c r="S104" s="315">
        <f>(I104/(J104*10000)*1000000)/'Table S-1a'!$AV$16</f>
        <v>125.08122157244964</v>
      </c>
      <c r="T104" s="377">
        <f t="shared" si="23"/>
        <v>4.2421296296296296</v>
      </c>
      <c r="U104" s="373"/>
      <c r="V104" s="330">
        <f t="shared" si="24"/>
        <v>3.5087719298245612</v>
      </c>
      <c r="W104" s="377">
        <f t="shared" si="25"/>
        <v>13.508771929824562</v>
      </c>
      <c r="X104" s="380"/>
      <c r="Y104" s="332">
        <f>('Table S-1a'!AV$16*(J104/100))/H104</f>
        <v>3.0780000000000002E-2</v>
      </c>
      <c r="Z104" s="332">
        <f>('Table S-1a'!AW$16*(K104/100))/H104</f>
        <v>0</v>
      </c>
      <c r="AA104" s="332">
        <f t="shared" si="26"/>
        <v>0.96921999999999997</v>
      </c>
      <c r="AB104" s="332">
        <f>('Table S-1a'!AX$16*(J104/100))/I104</f>
        <v>8.8090909090909088E-3</v>
      </c>
      <c r="AC104" s="383">
        <f t="shared" si="27"/>
        <v>0.99119090909090912</v>
      </c>
    </row>
    <row r="105" spans="1:32">
      <c r="C105" s="355"/>
      <c r="D105" s="362"/>
      <c r="E105" s="322"/>
      <c r="F105" s="322"/>
      <c r="G105" s="322"/>
      <c r="H105" s="323"/>
      <c r="I105" s="323"/>
      <c r="J105" s="361"/>
      <c r="K105" s="374"/>
      <c r="R105" s="313"/>
      <c r="S105" s="313"/>
      <c r="T105" s="358"/>
      <c r="U105" s="373"/>
      <c r="V105" s="313"/>
      <c r="W105" s="358"/>
      <c r="X105" s="380"/>
      <c r="Z105" s="321"/>
      <c r="AA105" s="321"/>
      <c r="AB105" s="321"/>
    </row>
    <row r="106" spans="1:32">
      <c r="C106" s="355"/>
      <c r="D106" s="362"/>
      <c r="E106" s="322"/>
      <c r="F106" s="322"/>
      <c r="G106" s="322"/>
      <c r="H106" s="323"/>
      <c r="I106" s="323"/>
      <c r="J106" s="361"/>
      <c r="K106" s="374"/>
      <c r="R106" s="313"/>
      <c r="S106" s="313"/>
      <c r="T106" s="358"/>
      <c r="U106" s="373"/>
      <c r="V106" s="313"/>
      <c r="W106" s="358"/>
      <c r="X106" s="380"/>
      <c r="Z106" s="321"/>
      <c r="AA106" s="321"/>
      <c r="AB106" s="321"/>
    </row>
    <row r="107" spans="1:32">
      <c r="C107" s="355"/>
      <c r="D107" s="362"/>
      <c r="E107" s="322"/>
      <c r="F107" s="322"/>
      <c r="G107" s="322"/>
      <c r="H107" s="323"/>
      <c r="I107" s="323"/>
      <c r="J107" s="361"/>
      <c r="K107" s="374"/>
      <c r="R107" s="312"/>
      <c r="S107" s="312"/>
      <c r="T107" s="354"/>
      <c r="U107" s="379"/>
      <c r="V107" s="313"/>
      <c r="W107" s="358"/>
      <c r="X107" s="381"/>
      <c r="Z107" s="321"/>
      <c r="AA107" s="321"/>
      <c r="AB107" s="321"/>
      <c r="AC107" s="384"/>
      <c r="AD107" s="329"/>
      <c r="AF107" s="329"/>
    </row>
    <row r="108" spans="1:32">
      <c r="A108" s="351" t="s">
        <v>152</v>
      </c>
      <c r="C108" s="355"/>
      <c r="D108" s="362" t="s">
        <v>30</v>
      </c>
      <c r="E108" s="322"/>
      <c r="F108" s="322"/>
      <c r="G108" s="322"/>
      <c r="H108" s="322" t="s">
        <v>50</v>
      </c>
      <c r="I108" s="323"/>
      <c r="J108" s="361"/>
      <c r="K108" s="374"/>
      <c r="L108" s="312" t="s">
        <v>41</v>
      </c>
      <c r="R108" s="313"/>
      <c r="S108" s="313"/>
      <c r="T108" s="358"/>
      <c r="U108" s="373"/>
      <c r="V108" s="312" t="s">
        <v>43</v>
      </c>
      <c r="W108" s="358"/>
      <c r="X108" s="380"/>
      <c r="Z108" s="321"/>
      <c r="AA108" s="321"/>
      <c r="AB108" s="325"/>
      <c r="AC108" s="385"/>
      <c r="AD108" s="328"/>
      <c r="AE108" s="327"/>
      <c r="AF108" s="327"/>
    </row>
    <row r="109" spans="1:32" ht="13.8">
      <c r="A109" s="386" t="s">
        <v>243</v>
      </c>
      <c r="B109" s="311"/>
      <c r="C109" s="354"/>
      <c r="D109" s="362" t="s">
        <v>224</v>
      </c>
      <c r="E109" s="322" t="s">
        <v>29</v>
      </c>
      <c r="F109" s="322" t="s">
        <v>225</v>
      </c>
      <c r="G109" s="324" t="s">
        <v>29</v>
      </c>
      <c r="H109" s="322" t="s">
        <v>31</v>
      </c>
      <c r="I109" s="322" t="s">
        <v>32</v>
      </c>
      <c r="J109" s="364" t="s">
        <v>52</v>
      </c>
      <c r="K109" s="373" t="s">
        <v>53</v>
      </c>
      <c r="L109" s="316" t="s">
        <v>58</v>
      </c>
      <c r="M109" s="316" t="s">
        <v>226</v>
      </c>
      <c r="N109" s="316" t="s">
        <v>27</v>
      </c>
      <c r="O109" s="316" t="s">
        <v>32</v>
      </c>
      <c r="P109" s="316" t="s">
        <v>225</v>
      </c>
      <c r="Q109" s="316" t="s">
        <v>27</v>
      </c>
      <c r="R109" s="313" t="s">
        <v>36</v>
      </c>
      <c r="S109" s="313" t="s">
        <v>37</v>
      </c>
      <c r="T109" s="358"/>
      <c r="U109" s="373"/>
      <c r="V109" s="313" t="s">
        <v>61</v>
      </c>
      <c r="W109" s="358" t="s">
        <v>63</v>
      </c>
      <c r="X109" s="380"/>
      <c r="Y109" s="318" t="s">
        <v>38</v>
      </c>
      <c r="Z109" s="318" t="s">
        <v>39</v>
      </c>
      <c r="AA109" s="319" t="s">
        <v>40</v>
      </c>
      <c r="AB109" s="318" t="s">
        <v>42</v>
      </c>
      <c r="AC109" s="382" t="s">
        <v>45</v>
      </c>
    </row>
    <row r="110" spans="1:32">
      <c r="B110" s="313" t="s">
        <v>24</v>
      </c>
      <c r="C110" s="354"/>
      <c r="D110" s="362" t="s">
        <v>66</v>
      </c>
      <c r="E110" s="322"/>
      <c r="F110" s="322" t="s">
        <v>86</v>
      </c>
      <c r="G110" s="324"/>
      <c r="H110" s="324" t="s">
        <v>51</v>
      </c>
      <c r="I110" s="322" t="s">
        <v>51</v>
      </c>
      <c r="J110" s="364" t="s">
        <v>33</v>
      </c>
      <c r="K110" s="373" t="s">
        <v>33</v>
      </c>
      <c r="L110" s="313" t="s">
        <v>51</v>
      </c>
      <c r="O110" s="313" t="s">
        <v>51</v>
      </c>
      <c r="R110" s="312" t="s">
        <v>55</v>
      </c>
      <c r="S110" s="312" t="s">
        <v>56</v>
      </c>
      <c r="T110" s="354"/>
      <c r="U110" s="379"/>
      <c r="V110" s="313" t="s">
        <v>62</v>
      </c>
      <c r="W110" s="358" t="s">
        <v>62</v>
      </c>
      <c r="X110" s="381"/>
      <c r="Y110" s="319"/>
      <c r="Z110" s="320" t="s">
        <v>57</v>
      </c>
      <c r="AA110" s="319"/>
      <c r="AB110" s="319"/>
      <c r="AC110" s="382"/>
    </row>
    <row r="111" spans="1:32">
      <c r="B111" s="342" t="s">
        <v>153</v>
      </c>
      <c r="C111" s="355"/>
      <c r="D111" s="362">
        <v>-0.34</v>
      </c>
      <c r="E111" s="343">
        <v>0.04</v>
      </c>
      <c r="F111" s="322">
        <v>1.23</v>
      </c>
      <c r="G111" s="343">
        <v>0.06</v>
      </c>
      <c r="H111" s="314">
        <v>7.8</v>
      </c>
      <c r="I111" s="344">
        <v>29.1</v>
      </c>
      <c r="J111" s="368">
        <v>2.8550943396226418</v>
      </c>
      <c r="K111" s="375"/>
      <c r="L111" s="330">
        <f t="shared" ref="L111:L139" si="28">AA111*H111</f>
        <v>7.4916498113207544</v>
      </c>
      <c r="M111" s="316">
        <f>(D111-(Y111*'Table S-1a'!$AV$17)-('Table S-1a'!$AW$17*Z111))/AA111</f>
        <v>-0.34164636733667558</v>
      </c>
      <c r="N111" s="316">
        <f>$E111*(M111-'Table S-1a'!$AV$17)/($D111-'Table S-1a'!$AV$17)*(1/AA111)</f>
        <v>4.3360497808532884E-2</v>
      </c>
      <c r="O111" s="331">
        <f t="shared" ref="O111:O139" si="29">I111*AC111</f>
        <v>28.760243773584907</v>
      </c>
      <c r="P111" s="316">
        <f>(F111-(AB111*'Table S-1a'!$AX$17))/AC111</f>
        <v>1.2445304804013655</v>
      </c>
      <c r="Q111" s="316">
        <f>$G111*(P111-'Table S-1a'!$AX$17)/($F111-'Table S-1a'!$AX$17)*(1/AC111)</f>
        <v>6.1425981227366776E-2</v>
      </c>
      <c r="R111" s="315">
        <f>(H111/(J111*10000)*1000000)/'Table S-1a'!$AX$16</f>
        <v>22.957636662912584</v>
      </c>
      <c r="S111" s="315">
        <f>(I111/(J111*10000)*1000000)/'Table S-1a'!$AV$16</f>
        <v>94.373219373219371</v>
      </c>
      <c r="T111" s="377">
        <f t="shared" ref="T111:T128" si="30">S111/R111</f>
        <v>4.1107549857549861</v>
      </c>
      <c r="U111" s="373"/>
      <c r="V111" s="330">
        <f t="shared" ref="V111:V139" si="31">H111/J111</f>
        <v>2.7319587628865976</v>
      </c>
      <c r="W111" s="377">
        <f t="shared" ref="W111:W139" si="32">I111/J111</f>
        <v>10.192307692307692</v>
      </c>
      <c r="X111" s="380"/>
      <c r="Y111" s="332">
        <f>('Table S-1a'!AV$16*(J111/100))/H111</f>
        <v>3.9532075471698125E-2</v>
      </c>
      <c r="Z111" s="332">
        <f>('Table S-1a'!AW$16*(K111/100))/H111</f>
        <v>0</v>
      </c>
      <c r="AA111" s="332">
        <f t="shared" ref="AA111:AA128" si="33">1-(Y111+Z111)</f>
        <v>0.96046792452830188</v>
      </c>
      <c r="AB111" s="332">
        <f>('Table S-1a'!AX$16*(J111/100))/I111</f>
        <v>1.1675471698113209E-2</v>
      </c>
      <c r="AC111" s="383">
        <f t="shared" ref="AC111:AC128" si="34">1-(AB111)</f>
        <v>0.98832452830188677</v>
      </c>
    </row>
    <row r="112" spans="1:32">
      <c r="B112" s="342" t="s">
        <v>154</v>
      </c>
      <c r="C112" s="355"/>
      <c r="D112" s="362">
        <v>0.28000000000000003</v>
      </c>
      <c r="E112" s="343">
        <v>0.02</v>
      </c>
      <c r="F112" s="322">
        <v>0.9</v>
      </c>
      <c r="G112" s="343">
        <v>7.0000000000000007E-2</v>
      </c>
      <c r="H112" s="314">
        <v>11</v>
      </c>
      <c r="I112" s="344">
        <v>53.9</v>
      </c>
      <c r="J112" s="368">
        <v>2.1094339622641507</v>
      </c>
      <c r="K112" s="375"/>
      <c r="L112" s="330">
        <f t="shared" si="28"/>
        <v>10.772181132075472</v>
      </c>
      <c r="M112" s="316">
        <f>(D112-(Y112*'Table S-1a'!$AV$17)-('Table S-1a'!$AW$17*Z112))/AA112</f>
        <v>0.2922663128085341</v>
      </c>
      <c r="N112" s="316">
        <f>$E112*(M112-'Table S-1a'!$AV$17)/($D112-'Table S-1a'!$AV$17)*(1/AA112)</f>
        <v>2.0854898055161494E-2</v>
      </c>
      <c r="O112" s="331">
        <f t="shared" si="29"/>
        <v>53.648977358490569</v>
      </c>
      <c r="P112" s="316">
        <f>(F112-(AB112*'Table S-1a'!$AX$17))/AC112</f>
        <v>0.90421108450677179</v>
      </c>
      <c r="Q112" s="316">
        <f>$G112*(P112-'Table S-1a'!$AX$17)/($F112-'Table S-1a'!$AX$17)*(1/AC112)</f>
        <v>7.0656590091535645E-2</v>
      </c>
      <c r="R112" s="315">
        <f>(H112/(J112*10000)*1000000)/'Table S-1a'!$AX$16</f>
        <v>43.820748335112228</v>
      </c>
      <c r="S112" s="315">
        <f>(I112/(J112*10000)*1000000)/'Table S-1a'!$AV$16</f>
        <v>236.59146624262905</v>
      </c>
      <c r="T112" s="377">
        <f t="shared" si="30"/>
        <v>5.3990740740740737</v>
      </c>
      <c r="U112" s="373"/>
      <c r="V112" s="330">
        <f t="shared" si="31"/>
        <v>5.2146690518783547</v>
      </c>
      <c r="W112" s="377">
        <f t="shared" si="32"/>
        <v>25.551878354203939</v>
      </c>
      <c r="X112" s="380"/>
      <c r="Y112" s="332">
        <f>('Table S-1a'!AV$16*(J112/100))/H112</f>
        <v>2.0710806174957117E-2</v>
      </c>
      <c r="Z112" s="332">
        <f>('Table S-1a'!AW$16*(K112/100))/H112</f>
        <v>0</v>
      </c>
      <c r="AA112" s="332">
        <f t="shared" si="33"/>
        <v>0.97928919382504287</v>
      </c>
      <c r="AB112" s="332">
        <f>('Table S-1a'!AX$16*(J112/100))/I112</f>
        <v>4.6571918647390345E-3</v>
      </c>
      <c r="AC112" s="383">
        <f t="shared" si="34"/>
        <v>0.99534280813526099</v>
      </c>
    </row>
    <row r="113" spans="2:29">
      <c r="B113" s="342" t="s">
        <v>155</v>
      </c>
      <c r="C113" s="355"/>
      <c r="D113" s="362">
        <v>0.56999999999999995</v>
      </c>
      <c r="E113" s="343">
        <v>0.03</v>
      </c>
      <c r="F113" s="322">
        <v>0.13</v>
      </c>
      <c r="G113" s="343">
        <v>0.06</v>
      </c>
      <c r="H113" s="314">
        <v>9.3000000000000007</v>
      </c>
      <c r="I113" s="344">
        <v>94</v>
      </c>
      <c r="J113" s="368">
        <v>2.4822641509433963</v>
      </c>
      <c r="K113" s="375"/>
      <c r="L113" s="330">
        <f t="shared" si="28"/>
        <v>9.0319154716981149</v>
      </c>
      <c r="M113" s="316">
        <f>(D113-(Y113*'Table S-1a'!$AV$17)-('Table S-1a'!$AW$17*Z113))/AA113</f>
        <v>0.59582326421825882</v>
      </c>
      <c r="N113" s="316">
        <f>$E113*(M113-'Table S-1a'!$AV$17)/($D113-'Table S-1a'!$AV$17)*(1/AA113)</f>
        <v>3.1807345252265425E-2</v>
      </c>
      <c r="O113" s="331">
        <f t="shared" si="29"/>
        <v>93.704610566037744</v>
      </c>
      <c r="P113" s="316">
        <f>(F113-(AB113*'Table S-1a'!$AX$17))/AC113</f>
        <v>0.13040980509051933</v>
      </c>
      <c r="Q113" s="316">
        <f>$G113*(P113-'Table S-1a'!$AX$17)/($F113-'Table S-1a'!$AX$17)*(1/AC113)</f>
        <v>6.0378877859457662E-2</v>
      </c>
      <c r="R113" s="315">
        <f>(H113/(J113*10000)*1000000)/'Table S-1a'!$AX$16</f>
        <v>31.483861407135066</v>
      </c>
      <c r="S113" s="315">
        <f>(I113/(J113*10000)*1000000)/'Table S-1a'!$AV$16</f>
        <v>350.63567672263321</v>
      </c>
      <c r="T113" s="377">
        <f t="shared" si="30"/>
        <v>11.136997212266028</v>
      </c>
      <c r="U113" s="373"/>
      <c r="V113" s="330">
        <f t="shared" si="31"/>
        <v>3.7465795074490731</v>
      </c>
      <c r="W113" s="377">
        <f t="shared" si="32"/>
        <v>37.86865308604439</v>
      </c>
      <c r="X113" s="374"/>
      <c r="Y113" s="332">
        <f>('Table S-1a'!AV$16*(J113/100))/H113</f>
        <v>2.8826293365794283E-2</v>
      </c>
      <c r="Z113" s="332">
        <f>('Table S-1a'!AW$16*(K113/100))/H113</f>
        <v>0</v>
      </c>
      <c r="AA113" s="332">
        <f t="shared" si="33"/>
        <v>0.97117370663420577</v>
      </c>
      <c r="AB113" s="332">
        <f>('Table S-1a'!AX$16*(J113/100))/I113</f>
        <v>3.1424407868325976E-3</v>
      </c>
      <c r="AC113" s="383">
        <f t="shared" si="34"/>
        <v>0.99685755921316743</v>
      </c>
    </row>
    <row r="114" spans="2:29">
      <c r="B114" s="342" t="s">
        <v>156</v>
      </c>
      <c r="C114" s="355"/>
      <c r="D114" s="362">
        <v>0.45</v>
      </c>
      <c r="E114" s="343">
        <v>0.03</v>
      </c>
      <c r="F114" s="322">
        <v>0.01</v>
      </c>
      <c r="G114" s="343">
        <v>0.02</v>
      </c>
      <c r="H114" s="314">
        <v>5</v>
      </c>
      <c r="I114" s="344">
        <v>89.8</v>
      </c>
      <c r="J114" s="368">
        <v>2.0849056603773586</v>
      </c>
      <c r="K114" s="375"/>
      <c r="L114" s="330">
        <f t="shared" si="28"/>
        <v>4.7748301886792452</v>
      </c>
      <c r="M114" s="316">
        <f>(D114-(Y114*'Table S-1a'!$AV$17)-('Table S-1a'!$AW$17*Z114))/AA114</f>
        <v>0.48536824385733368</v>
      </c>
      <c r="N114" s="316">
        <f>$E114*(M114-'Table S-1a'!$AV$17)/($D114-'Table S-1a'!$AV$17)*(1/AA114)</f>
        <v>3.2896174851176123E-2</v>
      </c>
      <c r="O114" s="331">
        <f t="shared" si="29"/>
        <v>89.551896226415082</v>
      </c>
      <c r="P114" s="316">
        <f>(F114-(AB114*'Table S-1a'!$AX$17))/AC114</f>
        <v>1.0027705027368447E-2</v>
      </c>
      <c r="Q114" s="316">
        <f>$G114*(P114-'Table S-1a'!$AX$17)/($F114-'Table S-1a'!$AX$17)*(1/AC114)</f>
        <v>2.0110973623182083E-2</v>
      </c>
      <c r="R114" s="315">
        <f>(H114/(J114*10000)*1000000)/'Table S-1a'!$AX$16</f>
        <v>20.15285752309974</v>
      </c>
      <c r="S114" s="315">
        <f>(I114/(J114*10000)*1000000)/'Table S-1a'!$AV$16</f>
        <v>398.81012233953408</v>
      </c>
      <c r="T114" s="377">
        <f t="shared" si="30"/>
        <v>19.789259259259254</v>
      </c>
      <c r="U114" s="373"/>
      <c r="V114" s="330">
        <f t="shared" si="31"/>
        <v>2.3981900452488687</v>
      </c>
      <c r="W114" s="377">
        <f t="shared" si="32"/>
        <v>43.071493212669679</v>
      </c>
      <c r="X114" s="374"/>
      <c r="Y114" s="332">
        <f>('Table S-1a'!AV$16*(J114/100))/H114</f>
        <v>4.5033962264150948E-2</v>
      </c>
      <c r="Z114" s="332">
        <f>('Table S-1a'!AW$16*(K114/100))/H114</f>
        <v>0</v>
      </c>
      <c r="AA114" s="332">
        <f t="shared" si="33"/>
        <v>0.95496603773584909</v>
      </c>
      <c r="AB114" s="332">
        <f>('Table S-1a'!AX$16*(J114/100))/I114</f>
        <v>2.7628482581838047E-3</v>
      </c>
      <c r="AC114" s="383">
        <f t="shared" si="34"/>
        <v>0.99723715174181615</v>
      </c>
    </row>
    <row r="115" spans="2:29">
      <c r="B115" s="342" t="s">
        <v>157</v>
      </c>
      <c r="C115" s="355"/>
      <c r="D115" s="362">
        <v>0.28999999999999998</v>
      </c>
      <c r="E115" s="343">
        <v>0.02</v>
      </c>
      <c r="F115" s="322" t="s">
        <v>182</v>
      </c>
      <c r="G115" s="343"/>
      <c r="H115" s="314">
        <v>7.8</v>
      </c>
      <c r="I115" s="344">
        <v>36.799999999999997</v>
      </c>
      <c r="J115" s="368">
        <v>3.3113207547169812</v>
      </c>
      <c r="K115" s="375"/>
      <c r="L115" s="330">
        <f t="shared" si="28"/>
        <v>7.4423773584905657</v>
      </c>
      <c r="M115" s="316">
        <f>(D115-(Y115*'Table S-1a'!$AV$17)-('Table S-1a'!$AW$17*Z115))/AA115</f>
        <v>0.31835080087008105</v>
      </c>
      <c r="N115" s="316">
        <f>$E115*(M115-'Table S-1a'!$AV$17)/($D115-'Table S-1a'!$AV$17)*(1/AA115)</f>
        <v>2.1968268482428652E-2</v>
      </c>
      <c r="O115" s="331">
        <f t="shared" si="29"/>
        <v>36.405952830188674</v>
      </c>
      <c r="P115" s="316"/>
      <c r="Q115" s="316"/>
      <c r="R115" s="315">
        <f>(H115/(J115*10000)*1000000)/'Table S-1a'!$AX$16</f>
        <v>19.794584500466851</v>
      </c>
      <c r="S115" s="315">
        <f>(I115/(J115*10000)*1000000)/'Table S-1a'!$AV$16</f>
        <v>102.9017621610214</v>
      </c>
      <c r="T115" s="377">
        <f t="shared" si="30"/>
        <v>5.1984805318138649</v>
      </c>
      <c r="U115" s="373"/>
      <c r="V115" s="330">
        <f t="shared" si="31"/>
        <v>2.3555555555555556</v>
      </c>
      <c r="W115" s="377">
        <f t="shared" si="32"/>
        <v>11.113390313390312</v>
      </c>
      <c r="X115" s="380"/>
      <c r="Y115" s="332">
        <f>('Table S-1a'!AV$16*(J115/100))/H115</f>
        <v>4.5849056603773593E-2</v>
      </c>
      <c r="Z115" s="332">
        <f>('Table S-1a'!AW$16*(K115/100))/H115</f>
        <v>0</v>
      </c>
      <c r="AA115" s="332">
        <f t="shared" si="33"/>
        <v>0.95415094339622641</v>
      </c>
      <c r="AB115" s="332">
        <f>('Table S-1a'!AX$16*(J115/100))/I115</f>
        <v>1.0707803527481545E-2</v>
      </c>
      <c r="AC115" s="383">
        <f t="shared" si="34"/>
        <v>0.98929219647251843</v>
      </c>
    </row>
    <row r="116" spans="2:29">
      <c r="B116" s="342" t="s">
        <v>158</v>
      </c>
      <c r="C116" s="355"/>
      <c r="D116" s="362">
        <v>0.12</v>
      </c>
      <c r="E116" s="343">
        <v>0.02</v>
      </c>
      <c r="F116" s="322">
        <v>0.97</v>
      </c>
      <c r="G116" s="343">
        <v>0.08</v>
      </c>
      <c r="H116" s="314">
        <v>26.6</v>
      </c>
      <c r="I116" s="344">
        <v>269.89999999999998</v>
      </c>
      <c r="J116" s="368">
        <v>4.7339622641509438</v>
      </c>
      <c r="K116" s="375"/>
      <c r="L116" s="330">
        <f t="shared" si="28"/>
        <v>26.0887320754717</v>
      </c>
      <c r="M116" s="316">
        <f>(D116-(Y116*'Table S-1a'!$AV$17)-('Table S-1a'!$AW$17*Z116))/AA116</f>
        <v>0.1282308533692128</v>
      </c>
      <c r="N116" s="316">
        <f>$E116*(M116-'Table S-1a'!$AV$17)/($D116-'Table S-1a'!$AV$17)*(1/AA116)</f>
        <v>2.0791571856839487E-2</v>
      </c>
      <c r="O116" s="331">
        <f t="shared" si="29"/>
        <v>269.33665849056604</v>
      </c>
      <c r="P116" s="316">
        <f>(F116-(AB116*'Table S-1a'!$AX$17))/AC116</f>
        <v>0.97202884103193876</v>
      </c>
      <c r="Q116" s="316">
        <f>$G116*(P116-'Table S-1a'!$AX$17)/($F116-'Table S-1a'!$AX$17)*(1/AC116)</f>
        <v>8.0335004170296043E-2</v>
      </c>
      <c r="R116" s="315">
        <f>(H116/(J116*10000)*1000000)/'Table S-1a'!$AX$16</f>
        <v>47.218249595573582</v>
      </c>
      <c r="S116" s="315">
        <f>(I116/(J116*10000)*1000000)/'Table S-1a'!$AV$16</f>
        <v>527.90325199651613</v>
      </c>
      <c r="T116" s="377">
        <f t="shared" si="30"/>
        <v>11.180068226120856</v>
      </c>
      <c r="U116" s="373"/>
      <c r="V116" s="330">
        <f t="shared" si="31"/>
        <v>5.6189717018732557</v>
      </c>
      <c r="W116" s="377">
        <f t="shared" si="32"/>
        <v>57.013551215623743</v>
      </c>
      <c r="X116" s="380"/>
      <c r="Y116" s="332">
        <f>('Table S-1a'!AV$16*(J116/100))/H116</f>
        <v>1.9220598666477514E-2</v>
      </c>
      <c r="Z116" s="332">
        <f>('Table S-1a'!AW$16*(K116/100))/H116</f>
        <v>0</v>
      </c>
      <c r="AA116" s="332">
        <f t="shared" si="33"/>
        <v>0.98077940133352248</v>
      </c>
      <c r="AB116" s="332">
        <f>('Table S-1a'!AX$16*(J116/100))/I116</f>
        <v>2.0872230805259813E-3</v>
      </c>
      <c r="AC116" s="383">
        <f t="shared" si="34"/>
        <v>0.997912776919474</v>
      </c>
    </row>
    <row r="117" spans="2:29">
      <c r="B117" s="342" t="s">
        <v>159</v>
      </c>
      <c r="C117" s="355"/>
      <c r="D117" s="362">
        <v>0.2</v>
      </c>
      <c r="E117" s="343">
        <v>0.01</v>
      </c>
      <c r="F117" s="322">
        <v>0.53</v>
      </c>
      <c r="G117" s="343">
        <v>7.0000000000000007E-2</v>
      </c>
      <c r="H117" s="314">
        <v>38.9</v>
      </c>
      <c r="I117" s="344">
        <v>197.2</v>
      </c>
      <c r="J117" s="368">
        <v>4.6603773584905657</v>
      </c>
      <c r="K117" s="375"/>
      <c r="L117" s="330">
        <f t="shared" si="28"/>
        <v>38.396679245283018</v>
      </c>
      <c r="M117" s="316">
        <f>(D117-(Y117*'Table S-1a'!$AV$17)-('Table S-1a'!$AW$17*Z117))/AA117</f>
        <v>0.2065542224563445</v>
      </c>
      <c r="N117" s="316">
        <f>$E117*(M117-'Table S-1a'!$AV$17)/($D117-'Table S-1a'!$AV$17)*(1/AA117)</f>
        <v>1.0263887211534071E-2</v>
      </c>
      <c r="O117" s="331">
        <f t="shared" si="29"/>
        <v>196.6454150943396</v>
      </c>
      <c r="P117" s="316">
        <f>(F117-(AB117*'Table S-1a'!$AX$17))/AC117</f>
        <v>0.53149472083983751</v>
      </c>
      <c r="Q117" s="316">
        <f>$G117*(P117-'Table S-1a'!$AX$17)/($F117-'Table S-1a'!$AX$17)*(1/AC117)</f>
        <v>7.0395388677974999E-2</v>
      </c>
      <c r="R117" s="315">
        <f>(H117/(J117*10000)*1000000)/'Table S-1a'!$AX$16</f>
        <v>70.142550947504517</v>
      </c>
      <c r="S117" s="315">
        <f>(I117/(J117*10000)*1000000)/'Table S-1a'!$AV$16</f>
        <v>391.79787074523915</v>
      </c>
      <c r="T117" s="377">
        <f t="shared" si="30"/>
        <v>5.585737408359515</v>
      </c>
      <c r="U117" s="373"/>
      <c r="V117" s="330">
        <f t="shared" si="31"/>
        <v>8.3469635627530376</v>
      </c>
      <c r="W117" s="377">
        <f t="shared" si="32"/>
        <v>42.314170040485834</v>
      </c>
      <c r="X117" s="380"/>
      <c r="Y117" s="332">
        <f>('Table S-1a'!AV$16*(J117/100))/H117</f>
        <v>1.2938836882184605E-2</v>
      </c>
      <c r="Z117" s="332">
        <f>('Table S-1a'!AW$16*(K117/100))/H117</f>
        <v>0</v>
      </c>
      <c r="AA117" s="332">
        <f t="shared" si="33"/>
        <v>0.98706116311781544</v>
      </c>
      <c r="AB117" s="332">
        <f>('Table S-1a'!AX$16*(J117/100))/I117</f>
        <v>2.8122966818477555E-3</v>
      </c>
      <c r="AC117" s="383">
        <f t="shared" si="34"/>
        <v>0.99718770331815221</v>
      </c>
    </row>
    <row r="118" spans="2:29">
      <c r="B118" s="342" t="s">
        <v>160</v>
      </c>
      <c r="C118" s="355"/>
      <c r="D118" s="362">
        <v>-0.12</v>
      </c>
      <c r="E118" s="343">
        <v>0.01</v>
      </c>
      <c r="F118" s="322">
        <v>1.46</v>
      </c>
      <c r="G118" s="343">
        <v>0.02</v>
      </c>
      <c r="H118" s="314">
        <v>152.9</v>
      </c>
      <c r="I118" s="344">
        <v>413.9</v>
      </c>
      <c r="J118" s="368">
        <v>2.9630188679245282</v>
      </c>
      <c r="K118" s="375"/>
      <c r="L118" s="330">
        <f t="shared" si="28"/>
        <v>152.57999396226415</v>
      </c>
      <c r="M118" s="316">
        <f>(D118-(Y118*'Table S-1a'!$AV$17)-('Table S-1a'!$AW$17*Z118))/AA118</f>
        <v>-0.1196224859806542</v>
      </c>
      <c r="N118" s="316">
        <f>$E118*(M118-'Table S-1a'!$AV$17)/($D118-'Table S-1a'!$AV$17)*(1/AA118)</f>
        <v>1.0041989988826943E-2</v>
      </c>
      <c r="O118" s="331">
        <f t="shared" si="29"/>
        <v>413.54740075471693</v>
      </c>
      <c r="P118" s="316">
        <f>(F118-(AB118*'Table S-1a'!$AX$17))/AC118</f>
        <v>1.4612448268255918</v>
      </c>
      <c r="Q118" s="316">
        <f>$G118*(P118-'Table S-1a'!$AX$17)/($F118-'Table S-1a'!$AX$17)*(1/AC118)</f>
        <v>2.0034119383792022E-2</v>
      </c>
      <c r="R118" s="315">
        <f>(H118/(J118*10000)*1000000)/'Table S-1a'!$AX$16</f>
        <v>433.63677615722804</v>
      </c>
      <c r="S118" s="315">
        <f>(I118/(J118*10000)*1000000)/'Table S-1a'!$AV$16</f>
        <v>1293.413095979321</v>
      </c>
      <c r="T118" s="377">
        <f t="shared" si="30"/>
        <v>2.9827108010561245</v>
      </c>
      <c r="U118" s="373"/>
      <c r="V118" s="330">
        <f t="shared" si="31"/>
        <v>51.602776362710145</v>
      </c>
      <c r="W118" s="377">
        <f t="shared" si="32"/>
        <v>139.68861436576668</v>
      </c>
      <c r="X118" s="380"/>
      <c r="Y118" s="332">
        <f>('Table S-1a'!AV$16*(J118/100))/H118</f>
        <v>2.0929106457544086E-3</v>
      </c>
      <c r="Z118" s="332">
        <f>('Table S-1a'!AW$16*(K118/100))/H118</f>
        <v>0</v>
      </c>
      <c r="AA118" s="332">
        <f t="shared" si="33"/>
        <v>0.99790708935424555</v>
      </c>
      <c r="AB118" s="332">
        <f>('Table S-1a'!AX$16*(J118/100))/I118</f>
        <v>8.5189476995172484E-4</v>
      </c>
      <c r="AC118" s="383">
        <f t="shared" si="34"/>
        <v>0.99914810523004827</v>
      </c>
    </row>
    <row r="119" spans="2:29">
      <c r="B119" s="342" t="s">
        <v>161</v>
      </c>
      <c r="C119" s="355"/>
      <c r="D119" s="362">
        <v>-0.16</v>
      </c>
      <c r="E119" s="343">
        <v>7.0000000000000007E-2</v>
      </c>
      <c r="F119" s="322">
        <v>1.22</v>
      </c>
      <c r="G119" s="343">
        <v>0.02</v>
      </c>
      <c r="H119" s="314">
        <v>71.099999999999994</v>
      </c>
      <c r="I119" s="344">
        <v>322.2</v>
      </c>
      <c r="J119" s="368">
        <v>2.2026415094339624</v>
      </c>
      <c r="K119" s="375"/>
      <c r="L119" s="330">
        <f t="shared" si="28"/>
        <v>70.862114716981125</v>
      </c>
      <c r="M119" s="316">
        <f>(D119-(Y119*'Table S-1a'!$AV$17)-('Table S-1a'!$AW$17*Z119))/AA119</f>
        <v>-0.15953001770049263</v>
      </c>
      <c r="N119" s="316">
        <f>$E119*(M119-'Table S-1a'!$AV$17)/($D119-'Table S-1a'!$AV$17)*(1/AA119)</f>
        <v>7.047077116865684E-2</v>
      </c>
      <c r="O119" s="331">
        <f t="shared" si="29"/>
        <v>321.93788566037733</v>
      </c>
      <c r="P119" s="316">
        <f>(F119-(AB119*'Table S-1a'!$AX$17))/AC119</f>
        <v>1.2209932956280796</v>
      </c>
      <c r="Q119" s="316">
        <f>$G119*(P119-'Table S-1a'!$AX$17)/($F119-'Table S-1a'!$AX$17)*(1/AC119)</f>
        <v>2.0032580327448521E-2</v>
      </c>
      <c r="R119" s="315">
        <f>(H119/(J119*10000)*1000000)/'Table S-1a'!$AX$16</f>
        <v>271.25566690613198</v>
      </c>
      <c r="S119" s="315">
        <f>(I119/(J119*10000)*1000000)/'Table S-1a'!$AV$16</f>
        <v>1354.4343555479411</v>
      </c>
      <c r="T119" s="377">
        <f t="shared" si="30"/>
        <v>4.9932020628223155</v>
      </c>
      <c r="U119" s="373"/>
      <c r="V119" s="330">
        <f t="shared" si="31"/>
        <v>32.279424361829705</v>
      </c>
      <c r="W119" s="377">
        <f t="shared" si="32"/>
        <v>146.27891039917765</v>
      </c>
      <c r="X119" s="380"/>
      <c r="Y119" s="332">
        <f>('Table S-1a'!AV$16*(J119/100))/H119</f>
        <v>3.3457845712920949E-3</v>
      </c>
      <c r="Z119" s="332">
        <f>('Table S-1a'!AW$16*(K119/100))/H119</f>
        <v>0</v>
      </c>
      <c r="AA119" s="332">
        <f t="shared" si="33"/>
        <v>0.99665421542870791</v>
      </c>
      <c r="AB119" s="332">
        <f>('Table S-1a'!AX$16*(J119/100))/I119</f>
        <v>8.1351439982197868E-4</v>
      </c>
      <c r="AC119" s="383">
        <f t="shared" si="34"/>
        <v>0.99918648560017798</v>
      </c>
    </row>
    <row r="120" spans="2:29">
      <c r="B120" s="342" t="s">
        <v>162</v>
      </c>
      <c r="C120" s="355"/>
      <c r="D120" s="362">
        <v>-0.1</v>
      </c>
      <c r="E120" s="343">
        <v>0.06</v>
      </c>
      <c r="F120" s="322">
        <v>1.75</v>
      </c>
      <c r="G120" s="343">
        <v>0.04</v>
      </c>
      <c r="H120" s="314">
        <v>84.5</v>
      </c>
      <c r="I120" s="344">
        <v>216.1</v>
      </c>
      <c r="J120" s="368">
        <v>3.8018867924528301</v>
      </c>
      <c r="K120" s="375"/>
      <c r="L120" s="330">
        <f t="shared" si="28"/>
        <v>84.08939622641509</v>
      </c>
      <c r="M120" s="316">
        <f>(D120-(Y120*'Table S-1a'!$AV$17)-('Table S-1a'!$AW$17*Z120))/AA120</f>
        <v>-9.9023411293192476E-2</v>
      </c>
      <c r="N120" s="316">
        <f>$E120*(M120-'Table S-1a'!$AV$17)/($D120-'Table S-1a'!$AV$17)*(1/AA120)</f>
        <v>6.0587383812337907E-2</v>
      </c>
      <c r="O120" s="331">
        <f t="shared" si="29"/>
        <v>215.6475754716981</v>
      </c>
      <c r="P120" s="316">
        <f>(F120-(AB120*'Table S-1a'!$AX$17))/AC120</f>
        <v>1.7536714668495412</v>
      </c>
      <c r="Q120" s="316">
        <f>$G120*(P120-'Table S-1a'!$AX$17)/($F120-'Table S-1a'!$AX$17)*(1/AC120)</f>
        <v>4.016801454553106E-2</v>
      </c>
      <c r="R120" s="315">
        <f>(H120/(J120*10000)*1000000)/'Table S-1a'!$AX$16</f>
        <v>186.77148278666303</v>
      </c>
      <c r="S120" s="315">
        <f>(I120/(J120*10000)*1000000)/'Table S-1a'!$AV$16</f>
        <v>526.29813436265044</v>
      </c>
      <c r="T120" s="377">
        <f t="shared" si="30"/>
        <v>2.8178720140258604</v>
      </c>
      <c r="U120" s="373"/>
      <c r="V120" s="330">
        <f t="shared" si="31"/>
        <v>22.225806451612904</v>
      </c>
      <c r="W120" s="377">
        <f t="shared" si="32"/>
        <v>56.84019851116625</v>
      </c>
      <c r="X120" s="380"/>
      <c r="Y120" s="332">
        <f>('Table S-1a'!AV$16*(J120/100))/H120</f>
        <v>4.85921625544267E-3</v>
      </c>
      <c r="Z120" s="332">
        <f>('Table S-1a'!AW$16*(K120/100))/H120</f>
        <v>0</v>
      </c>
      <c r="AA120" s="332">
        <f t="shared" si="33"/>
        <v>0.99514078374455728</v>
      </c>
      <c r="AB120" s="332">
        <f>('Table S-1a'!AX$16*(J120/100))/I120</f>
        <v>2.0935887473479261E-3</v>
      </c>
      <c r="AC120" s="383">
        <f t="shared" si="34"/>
        <v>0.99790641125265211</v>
      </c>
    </row>
    <row r="121" spans="2:29">
      <c r="B121" s="342" t="s">
        <v>163</v>
      </c>
      <c r="C121" s="355"/>
      <c r="D121" s="362">
        <v>0.14000000000000001</v>
      </c>
      <c r="E121" s="343">
        <v>0.02</v>
      </c>
      <c r="F121" s="322">
        <v>0.78</v>
      </c>
      <c r="G121" s="343">
        <v>0.1</v>
      </c>
      <c r="H121" s="314">
        <v>88.7</v>
      </c>
      <c r="I121" s="344">
        <v>192</v>
      </c>
      <c r="J121" s="368">
        <v>4.3807547169811318</v>
      </c>
      <c r="K121" s="375"/>
      <c r="L121" s="330">
        <f t="shared" si="28"/>
        <v>88.226878490566037</v>
      </c>
      <c r="M121" s="316">
        <f>(D121-(Y121*'Table S-1a'!$AV$17)-('Table S-1a'!$AW$17*Z121))/AA121</f>
        <v>0.14235952430497928</v>
      </c>
      <c r="N121" s="316">
        <f>$E121*(M121-'Table S-1a'!$AV$17)/($D121-'Table S-1a'!$AV$17)*(1/AA121)</f>
        <v>2.0215077349517305E-2</v>
      </c>
      <c r="O121" s="331">
        <f t="shared" si="29"/>
        <v>191.47869018867925</v>
      </c>
      <c r="P121" s="316">
        <f>(F121-(AB121*'Table S-1a'!$AX$17))/AC121</f>
        <v>0.78212358697685636</v>
      </c>
      <c r="Q121" s="316">
        <f>$G121*(P121-'Table S-1a'!$AX$17)/($F121-'Table S-1a'!$AX$17)*(1/AC121)</f>
        <v>0.10054525070768312</v>
      </c>
      <c r="R121" s="315">
        <f>(H121/(J121*10000)*1000000)/'Table S-1a'!$AX$16</f>
        <v>170.14834187615955</v>
      </c>
      <c r="S121" s="315">
        <f>(I121/(J121*10000)*1000000)/'Table S-1a'!$AV$16</f>
        <v>405.81541141451549</v>
      </c>
      <c r="T121" s="377">
        <f t="shared" si="30"/>
        <v>2.3850682700739068</v>
      </c>
      <c r="U121" s="373"/>
      <c r="V121" s="330">
        <f t="shared" si="31"/>
        <v>20.247652683262988</v>
      </c>
      <c r="W121" s="377">
        <f t="shared" si="32"/>
        <v>43.828064432767682</v>
      </c>
      <c r="X121" s="380"/>
      <c r="Y121" s="332">
        <f>('Table S-1a'!AV$16*(J121/100))/H121</f>
        <v>5.3339516283423035E-3</v>
      </c>
      <c r="Z121" s="332">
        <f>('Table S-1a'!AW$16*(K121/100))/H121</f>
        <v>0</v>
      </c>
      <c r="AA121" s="332">
        <f t="shared" si="33"/>
        <v>0.99466604837165773</v>
      </c>
      <c r="AB121" s="332">
        <f>('Table S-1a'!AX$16*(J121/100))/I121</f>
        <v>2.7151552672955975E-3</v>
      </c>
      <c r="AC121" s="383">
        <f t="shared" si="34"/>
        <v>0.9972848447327044</v>
      </c>
    </row>
    <row r="122" spans="2:29">
      <c r="B122" s="342" t="s">
        <v>164</v>
      </c>
      <c r="C122" s="355"/>
      <c r="D122" s="362">
        <v>-0.01</v>
      </c>
      <c r="E122" s="343">
        <v>0.04</v>
      </c>
      <c r="F122" s="322">
        <v>1.1299999999999999</v>
      </c>
      <c r="G122" s="343">
        <v>0.04</v>
      </c>
      <c r="H122" s="314">
        <v>44.9</v>
      </c>
      <c r="I122" s="344">
        <v>155.30000000000001</v>
      </c>
      <c r="J122" s="368">
        <v>3.8803773584905663</v>
      </c>
      <c r="K122" s="375"/>
      <c r="L122" s="330">
        <f t="shared" si="28"/>
        <v>44.480919245283019</v>
      </c>
      <c r="M122" s="316">
        <f>(D122-(Y122*'Table S-1a'!$AV$17)-('Table S-1a'!$AW$17*Z122))/AA122</f>
        <v>-7.2677403945330425E-3</v>
      </c>
      <c r="N122" s="316">
        <f>$E122*(M122-'Table S-1a'!$AV$17)/($D122-'Table S-1a'!$AV$17)*(1/AA122)</f>
        <v>4.0757277438155763E-2</v>
      </c>
      <c r="O122" s="331">
        <f t="shared" si="29"/>
        <v>154.83823509433964</v>
      </c>
      <c r="P122" s="316">
        <f>(F122-(AB122*'Table S-1a'!$AX$17))/AC122</f>
        <v>1.1333699321299955</v>
      </c>
      <c r="Q122" s="316">
        <f>$G122*(P122-'Table S-1a'!$AX$17)/($F122-'Table S-1a'!$AX$17)*(1/AC122)</f>
        <v>4.0238935016253453E-2</v>
      </c>
      <c r="R122" s="315">
        <f>(H122/(J122*10000)*1000000)/'Table S-1a'!$AX$16</f>
        <v>97.235626721757441</v>
      </c>
      <c r="S122" s="315">
        <f>(I122/(J122*10000)*1000000)/'Table S-1a'!$AV$16</f>
        <v>370.57297013049219</v>
      </c>
      <c r="T122" s="377">
        <f t="shared" si="30"/>
        <v>3.8110822403695455</v>
      </c>
      <c r="U122" s="373"/>
      <c r="V122" s="330">
        <f t="shared" si="31"/>
        <v>11.571039579889137</v>
      </c>
      <c r="W122" s="377">
        <f t="shared" si="32"/>
        <v>40.021880774093162</v>
      </c>
      <c r="X122" s="380"/>
      <c r="Y122" s="332">
        <f>('Table S-1a'!AV$16*(J122/100))/H122</f>
        <v>9.3336470983737471E-3</v>
      </c>
      <c r="Z122" s="332">
        <f>('Table S-1a'!AW$16*(K122/100))/H122</f>
        <v>0</v>
      </c>
      <c r="AA122" s="332">
        <f t="shared" si="33"/>
        <v>0.9906663529016263</v>
      </c>
      <c r="AB122" s="332">
        <f>('Table S-1a'!AX$16*(J122/100))/I122</f>
        <v>2.9733735071498864E-3</v>
      </c>
      <c r="AC122" s="383">
        <f t="shared" si="34"/>
        <v>0.99702662649285012</v>
      </c>
    </row>
    <row r="123" spans="2:29">
      <c r="B123" s="342" t="s">
        <v>165</v>
      </c>
      <c r="C123" s="355"/>
      <c r="D123" s="362">
        <v>-0.01</v>
      </c>
      <c r="E123" s="343">
        <v>0</v>
      </c>
      <c r="F123" s="322">
        <v>0.52</v>
      </c>
      <c r="G123" s="343">
        <v>0.02</v>
      </c>
      <c r="H123" s="314">
        <v>26.7</v>
      </c>
      <c r="I123" s="344">
        <v>136.19999999999999</v>
      </c>
      <c r="J123" s="368">
        <v>4.8713207547169812</v>
      </c>
      <c r="K123" s="375"/>
      <c r="L123" s="330">
        <f t="shared" si="28"/>
        <v>26.173897358490564</v>
      </c>
      <c r="M123" s="316">
        <f>(D123-(Y123*'Table S-1a'!$AV$17)-('Table S-1a'!$AW$17*Z123))/AA123</f>
        <v>-4.1709190668831114E-3</v>
      </c>
      <c r="N123" s="316">
        <f>$E123*(M123-'Table S-1a'!$AV$17)/($D123-'Table S-1a'!$AV$17)*(1/AA123)</f>
        <v>0</v>
      </c>
      <c r="O123" s="331">
        <f t="shared" si="29"/>
        <v>135.62031283018865</v>
      </c>
      <c r="P123" s="316">
        <f>(F123-(AB123*'Table S-1a'!$AX$17))/AC123</f>
        <v>0.5222226561936878</v>
      </c>
      <c r="Q123" s="316">
        <f>$G123*(P123-'Table S-1a'!$AX$17)/($F123-'Table S-1a'!$AX$17)*(1/AC123)</f>
        <v>2.0171338952809956E-2</v>
      </c>
      <c r="R123" s="315">
        <f>(H123/(J123*10000)*1000000)/'Table S-1a'!$AX$16</f>
        <v>46.059325426661488</v>
      </c>
      <c r="S123" s="315">
        <f>(I123/(J123*10000)*1000000)/'Table S-1a'!$AV$16</f>
        <v>258.88484347698846</v>
      </c>
      <c r="T123" s="377">
        <f t="shared" si="30"/>
        <v>5.6206824802330413</v>
      </c>
      <c r="U123" s="373"/>
      <c r="V123" s="330">
        <f t="shared" si="31"/>
        <v>5.4810597257727167</v>
      </c>
      <c r="W123" s="377">
        <f t="shared" si="32"/>
        <v>27.959563095514753</v>
      </c>
      <c r="X123" s="380"/>
      <c r="Y123" s="332">
        <f>('Table S-1a'!AV$16*(J123/100))/H123</f>
        <v>1.970421878312487E-2</v>
      </c>
      <c r="Z123" s="332">
        <f>('Table S-1a'!AW$16*(K123/100))/H123</f>
        <v>0</v>
      </c>
      <c r="AA123" s="332">
        <f t="shared" si="33"/>
        <v>0.98029578121687511</v>
      </c>
      <c r="AB123" s="332">
        <f>('Table S-1a'!AX$16*(J123/100))/I123</f>
        <v>4.2561466212284928E-3</v>
      </c>
      <c r="AC123" s="383">
        <f t="shared" si="34"/>
        <v>0.99574385337877147</v>
      </c>
    </row>
    <row r="124" spans="2:29">
      <c r="B124" s="342" t="s">
        <v>166</v>
      </c>
      <c r="C124" s="355"/>
      <c r="D124" s="362">
        <v>7.0000000000000007E-2</v>
      </c>
      <c r="E124" s="343">
        <v>0.03</v>
      </c>
      <c r="F124" s="322">
        <v>1.29</v>
      </c>
      <c r="G124" s="343">
        <v>0.03</v>
      </c>
      <c r="H124" s="314">
        <v>50.4</v>
      </c>
      <c r="I124" s="344">
        <v>112.1</v>
      </c>
      <c r="J124" s="368">
        <v>3.0169811320754718</v>
      </c>
      <c r="K124" s="375"/>
      <c r="L124" s="330">
        <f t="shared" si="28"/>
        <v>50.07416603773585</v>
      </c>
      <c r="M124" s="316">
        <f>(D124-(Y124*'Table S-1a'!$AV$17)-('Table S-1a'!$AW$17*Z124))/AA124</f>
        <v>7.2407600077590575E-2</v>
      </c>
      <c r="N124" s="316">
        <f>$E124*(M124-'Table S-1a'!$AV$17)/($D124-'Table S-1a'!$AV$17)*(1/AA124)</f>
        <v>3.0391691876307664E-2</v>
      </c>
      <c r="O124" s="331">
        <f t="shared" si="29"/>
        <v>111.74097924528301</v>
      </c>
      <c r="P124" s="316">
        <f>(F124-(AB124*'Table S-1a'!$AX$17))/AC124</f>
        <v>1.2941447352324367</v>
      </c>
      <c r="Q124" s="316">
        <f>$G124*(P124-'Table S-1a'!$AX$17)/($F124-'Table S-1a'!$AX$17)*(1/AC124)</f>
        <v>3.0193088078778321E-2</v>
      </c>
      <c r="R124" s="315">
        <f>(H124/(J124*10000)*1000000)/'Table S-1a'!$AX$16</f>
        <v>140.38185630725084</v>
      </c>
      <c r="S124" s="315">
        <f>(I124/(J124*10000)*1000000)/'Table S-1a'!$AV$16</f>
        <v>344.04025664188259</v>
      </c>
      <c r="T124" s="377">
        <f t="shared" si="30"/>
        <v>2.4507458847736623</v>
      </c>
      <c r="U124" s="373"/>
      <c r="V124" s="330">
        <f t="shared" si="31"/>
        <v>16.705440900562852</v>
      </c>
      <c r="W124" s="377">
        <f t="shared" si="32"/>
        <v>37.156347717323321</v>
      </c>
      <c r="X124" s="380"/>
      <c r="Y124" s="332">
        <f>('Table S-1a'!AV$16*(J124/100))/H124</f>
        <v>6.4649595687331553E-3</v>
      </c>
      <c r="Z124" s="332">
        <f>('Table S-1a'!AW$16*(K124/100))/H124</f>
        <v>0</v>
      </c>
      <c r="AA124" s="332">
        <f t="shared" si="33"/>
        <v>0.99353504043126684</v>
      </c>
      <c r="AB124" s="332">
        <f>('Table S-1a'!AX$16*(J124/100))/I124</f>
        <v>3.2026829145136593E-3</v>
      </c>
      <c r="AC124" s="383">
        <f t="shared" si="34"/>
        <v>0.99679731708548636</v>
      </c>
    </row>
    <row r="125" spans="2:29">
      <c r="B125" s="342" t="s">
        <v>167</v>
      </c>
      <c r="C125" s="355"/>
      <c r="D125" s="362">
        <v>-0.12</v>
      </c>
      <c r="E125" s="343">
        <v>0.05</v>
      </c>
      <c r="F125" s="322">
        <v>1.94</v>
      </c>
      <c r="G125" s="343">
        <v>0.01</v>
      </c>
      <c r="H125" s="314">
        <v>35.9</v>
      </c>
      <c r="I125" s="344">
        <v>71</v>
      </c>
      <c r="J125" s="368">
        <v>5.0430188679245278</v>
      </c>
      <c r="K125" s="375"/>
      <c r="L125" s="330">
        <f t="shared" si="28"/>
        <v>35.355353962264154</v>
      </c>
      <c r="M125" s="316">
        <f>(D125-(Y125*'Table S-1a'!$AV$17)-('Table S-1a'!$AW$17*Z125))/AA125</f>
        <v>-0.11722711624109065</v>
      </c>
      <c r="N125" s="316">
        <f>$E125*(M125-'Table S-1a'!$AV$17)/($D125-'Table S-1a'!$AV$17)*(1/AA125)</f>
        <v>5.1552356539425588E-2</v>
      </c>
      <c r="O125" s="331">
        <f t="shared" si="29"/>
        <v>70.399880754716975</v>
      </c>
      <c r="P125" s="316">
        <f>(F125-(AB125*'Table S-1a'!$AX$17))/AC125</f>
        <v>1.9565374049411448</v>
      </c>
      <c r="Q125" s="316">
        <f>$G125*(P125-'Table S-1a'!$AX$17)/($F125-'Table S-1a'!$AX$17)*(1/AC125)</f>
        <v>1.017121537074564E-2</v>
      </c>
      <c r="R125" s="315">
        <f>(H125/(J125*10000)*1000000)/'Table S-1a'!$AX$16</f>
        <v>59.82144429157475</v>
      </c>
      <c r="S125" s="315">
        <f>(I125/(J125*10000)*1000000)/'Table S-1a'!$AV$16</f>
        <v>130.35989446495284</v>
      </c>
      <c r="T125" s="377">
        <f t="shared" si="30"/>
        <v>2.1791499019911282</v>
      </c>
      <c r="U125" s="373"/>
      <c r="V125" s="330">
        <f t="shared" si="31"/>
        <v>7.1187518706973965</v>
      </c>
      <c r="W125" s="377">
        <f t="shared" si="32"/>
        <v>14.078868602214907</v>
      </c>
      <c r="X125" s="380"/>
      <c r="Y125" s="332">
        <f>('Table S-1a'!AV$16*(J125/100))/H125</f>
        <v>1.5171198822725602E-2</v>
      </c>
      <c r="Z125" s="332">
        <f>('Table S-1a'!AW$16*(K125/100))/H125</f>
        <v>0</v>
      </c>
      <c r="AA125" s="332">
        <f t="shared" si="33"/>
        <v>0.98482880117727445</v>
      </c>
      <c r="AB125" s="332">
        <f>('Table S-1a'!AX$16*(J125/100))/I125</f>
        <v>8.4523837363805476E-3</v>
      </c>
      <c r="AC125" s="383">
        <f t="shared" si="34"/>
        <v>0.99154761626361942</v>
      </c>
    </row>
    <row r="126" spans="2:29">
      <c r="B126" s="342" t="s">
        <v>168</v>
      </c>
      <c r="C126" s="355"/>
      <c r="D126" s="362">
        <v>0.5</v>
      </c>
      <c r="E126" s="343">
        <v>7.0000000000000007E-2</v>
      </c>
      <c r="F126" s="322">
        <v>0.45</v>
      </c>
      <c r="G126" s="343">
        <v>7.0000000000000007E-2</v>
      </c>
      <c r="H126" s="314">
        <v>29.9</v>
      </c>
      <c r="I126" s="344">
        <v>357.8</v>
      </c>
      <c r="J126" s="368">
        <v>3.9441509433962261</v>
      </c>
      <c r="K126" s="375"/>
      <c r="L126" s="330">
        <f t="shared" si="28"/>
        <v>29.474031698113208</v>
      </c>
      <c r="M126" s="316">
        <f>(D126-(Y126*'Table S-1a'!$AV$17)-('Table S-1a'!$AW$17*Z126))/AA126</f>
        <v>0.51156186045396868</v>
      </c>
      <c r="N126" s="316">
        <f>$E126*(M126-'Table S-1a'!$AV$17)/($D126-'Table S-1a'!$AV$17)*(1/AA126)</f>
        <v>7.2037946459446084E-2</v>
      </c>
      <c r="O126" s="331">
        <f t="shared" si="29"/>
        <v>357.33064603773585</v>
      </c>
      <c r="P126" s="316">
        <f>(F126-(AB126*'Table S-1a'!$AX$17))/AC126</f>
        <v>0.45059107519984881</v>
      </c>
      <c r="Q126" s="316">
        <f>$G126*(P126-'Table S-1a'!$AX$17)/($F126-'Table S-1a'!$AX$17)*(1/AC126)</f>
        <v>7.0184010832014351E-2</v>
      </c>
      <c r="R126" s="315">
        <f>(H126/(J126*10000)*1000000)/'Table S-1a'!$AX$16</f>
        <v>63.704586312136797</v>
      </c>
      <c r="S126" s="315">
        <f>(I126/(J126*10000)*1000000)/'Table S-1a'!$AV$16</f>
        <v>839.96860427208696</v>
      </c>
      <c r="T126" s="377">
        <f t="shared" si="30"/>
        <v>13.185370989718818</v>
      </c>
      <c r="U126" s="373"/>
      <c r="V126" s="330">
        <f t="shared" si="31"/>
        <v>7.5808457711442792</v>
      </c>
      <c r="W126" s="377">
        <f t="shared" si="32"/>
        <v>90.716609261385386</v>
      </c>
      <c r="X126" s="380"/>
      <c r="Y126" s="332">
        <f>('Table S-1a'!AV$16*(J126/100))/H126</f>
        <v>1.4246431501230518E-2</v>
      </c>
      <c r="Z126" s="332">
        <f>('Table S-1a'!AW$16*(K126/100))/H126</f>
        <v>0</v>
      </c>
      <c r="AA126" s="332">
        <f t="shared" si="33"/>
        <v>0.98575356849876949</v>
      </c>
      <c r="AB126" s="332">
        <f>('Table S-1a'!AX$16*(J126/100))/I126</f>
        <v>1.311777423879684E-3</v>
      </c>
      <c r="AC126" s="383">
        <f t="shared" si="34"/>
        <v>0.99868822257612033</v>
      </c>
    </row>
    <row r="127" spans="2:29">
      <c r="B127" s="342" t="s">
        <v>169</v>
      </c>
      <c r="C127" s="355"/>
      <c r="D127" s="362">
        <v>-0.06</v>
      </c>
      <c r="E127" s="343">
        <v>0.01</v>
      </c>
      <c r="F127" s="322">
        <v>1.34</v>
      </c>
      <c r="G127" s="343">
        <v>0.02</v>
      </c>
      <c r="H127" s="314">
        <v>82.3</v>
      </c>
      <c r="I127" s="344">
        <v>138.30000000000001</v>
      </c>
      <c r="J127" s="368">
        <v>2.8747169811320759</v>
      </c>
      <c r="K127" s="375"/>
      <c r="L127" s="330">
        <f t="shared" si="28"/>
        <v>81.989530566037729</v>
      </c>
      <c r="M127" s="316">
        <f>(D127-(Y127*'Table S-1a'!$AV$17)-('Table S-1a'!$AW$17*Z127))/AA127</f>
        <v>-5.9091192940897153E-2</v>
      </c>
      <c r="N127" s="316">
        <f>$E127*(M127-'Table S-1a'!$AV$17)/($D127-'Table S-1a'!$AV$17)*(1/AA127)</f>
        <v>1.0075877312263896E-2</v>
      </c>
      <c r="O127" s="331">
        <f t="shared" si="29"/>
        <v>137.95790867924529</v>
      </c>
      <c r="P127" s="316">
        <f>(F127-(AB127*'Table S-1a'!$AX$17))/AC127</f>
        <v>1.3433227697795647</v>
      </c>
      <c r="Q127" s="316">
        <f>$G127*(P127-'Table S-1a'!$AX$17)/($F127-'Table S-1a'!$AX$17)*(1/AC127)</f>
        <v>2.0099310133751849E-2</v>
      </c>
      <c r="R127" s="315">
        <f>(H127/(J127*10000)*1000000)/'Table S-1a'!$AX$16</f>
        <v>240.57903549973409</v>
      </c>
      <c r="S127" s="315">
        <f>(I127/(J127*10000)*1000000)/'Table S-1a'!$AV$16</f>
        <v>445.45447915755074</v>
      </c>
      <c r="T127" s="377">
        <f t="shared" si="30"/>
        <v>1.8515930876198192</v>
      </c>
      <c r="U127" s="373"/>
      <c r="V127" s="330">
        <f t="shared" si="31"/>
        <v>28.628905224468358</v>
      </c>
      <c r="W127" s="377">
        <f t="shared" si="32"/>
        <v>48.10908374901549</v>
      </c>
      <c r="X127" s="380"/>
      <c r="Y127" s="332">
        <f>('Table S-1a'!AV$16*(J127/100))/H127</f>
        <v>3.7724111052522993E-3</v>
      </c>
      <c r="Z127" s="332">
        <f>('Table S-1a'!AW$16*(K127/100))/H127</f>
        <v>0</v>
      </c>
      <c r="AA127" s="332">
        <f t="shared" si="33"/>
        <v>0.99622758889474772</v>
      </c>
      <c r="AB127" s="332">
        <f>('Table S-1a'!AX$16*(J127/100))/I127</f>
        <v>2.4735453416826971E-3</v>
      </c>
      <c r="AC127" s="383">
        <f t="shared" si="34"/>
        <v>0.99752645465831735</v>
      </c>
    </row>
    <row r="128" spans="2:29">
      <c r="B128" s="342" t="s">
        <v>170</v>
      </c>
      <c r="C128" s="355"/>
      <c r="D128" s="362">
        <v>-0.08</v>
      </c>
      <c r="E128" s="343">
        <v>0.02</v>
      </c>
      <c r="F128" s="322">
        <v>1.2</v>
      </c>
      <c r="G128" s="343">
        <v>0.06</v>
      </c>
      <c r="H128" s="314">
        <v>11.7</v>
      </c>
      <c r="I128" s="344">
        <v>13</v>
      </c>
      <c r="J128" s="368">
        <v>3.1347169811320752</v>
      </c>
      <c r="K128" s="375"/>
      <c r="L128" s="330">
        <f t="shared" si="28"/>
        <v>11.361450566037735</v>
      </c>
      <c r="M128" s="316">
        <f>(D128-(Y128*'Table S-1a'!$AV$17)-('Table S-1a'!$AW$17*Z128))/AA128</f>
        <v>-7.3444421991823786E-2</v>
      </c>
      <c r="N128" s="316">
        <f>$E128*(M128-'Table S-1a'!$AV$17)/($D128-'Table S-1a'!$AV$17)*(1/AA128)</f>
        <v>2.1209681787859012E-2</v>
      </c>
      <c r="O128" s="331">
        <f t="shared" si="29"/>
        <v>12.626968679245282</v>
      </c>
      <c r="P128" s="316">
        <f>(F128-(AB128*'Table S-1a'!$AX$17))/AC128</f>
        <v>1.2354509143308032</v>
      </c>
      <c r="Q128" s="316">
        <f>$G128*(P128-'Table S-1a'!$AX$17)/($F128-'Table S-1a'!$AX$17)*(1/AC128)</f>
        <v>6.3597456738367406E-2</v>
      </c>
      <c r="R128" s="315">
        <f>(H128/(J128*10000)*1000000)/'Table S-1a'!$AX$16</f>
        <v>31.364658539472124</v>
      </c>
      <c r="S128" s="315">
        <f>(I128/(J128*10000)*1000000)/'Table S-1a'!$AV$16</f>
        <v>38.399118993798183</v>
      </c>
      <c r="T128" s="377">
        <f t="shared" si="30"/>
        <v>1.2242798353909468</v>
      </c>
      <c r="U128" s="373"/>
      <c r="V128" s="330">
        <f t="shared" si="31"/>
        <v>3.732394366197183</v>
      </c>
      <c r="W128" s="377">
        <f t="shared" si="32"/>
        <v>4.1471048513302042</v>
      </c>
      <c r="X128" s="380"/>
      <c r="Y128" s="332">
        <f>('Table S-1a'!AV$16*(J128/100))/H128</f>
        <v>2.8935849056603777E-2</v>
      </c>
      <c r="Z128" s="332">
        <f>('Table S-1a'!AW$16*(K128/100))/H128</f>
        <v>0</v>
      </c>
      <c r="AA128" s="332">
        <f t="shared" si="33"/>
        <v>0.97106415094339626</v>
      </c>
      <c r="AB128" s="332">
        <f>('Table S-1a'!AX$16*(J128/100))/I128</f>
        <v>2.8694716981132077E-2</v>
      </c>
      <c r="AC128" s="383">
        <f t="shared" si="34"/>
        <v>0.97130528301886787</v>
      </c>
    </row>
    <row r="129" spans="1:32">
      <c r="B129" s="342" t="s">
        <v>171</v>
      </c>
      <c r="C129" s="355"/>
      <c r="D129" s="362" t="s">
        <v>182</v>
      </c>
      <c r="E129" s="344"/>
      <c r="F129" s="322">
        <v>-0.03</v>
      </c>
      <c r="G129" s="343">
        <v>0.06</v>
      </c>
      <c r="H129" s="314">
        <v>68.7</v>
      </c>
      <c r="I129" s="344">
        <v>110.9</v>
      </c>
      <c r="J129" s="368">
        <v>4.8271698113207551</v>
      </c>
      <c r="K129" s="375"/>
      <c r="L129" s="330">
        <f t="shared" si="28"/>
        <v>68.178665660377362</v>
      </c>
      <c r="M129" s="316"/>
      <c r="N129" s="316"/>
      <c r="O129" s="331">
        <f t="shared" si="29"/>
        <v>110.32556679245283</v>
      </c>
      <c r="P129" s="316">
        <f>(F129-(AB129*'Table S-1a'!$AX$17))/AC129</f>
        <v>-3.0156201293385004E-2</v>
      </c>
      <c r="Q129" s="316">
        <f>$G129*(P129-'Table S-1a'!$AX$17)/($F129-'Table S-1a'!$AX$17)*(1/AC129)</f>
        <v>6.0626431763143689E-2</v>
      </c>
      <c r="R129" s="315">
        <f>(H129/(J129*10000)*1000000)/'Table S-1a'!$AX$16</f>
        <v>119.59614990461473</v>
      </c>
      <c r="S129" s="315">
        <f>(I129/(J129*10000)*1000000)/'Table S-1a'!$AV$16</f>
        <v>212.72337456280539</v>
      </c>
      <c r="T129" s="377">
        <f t="shared" ref="T129:T130" si="35">S129/R129</f>
        <v>1.7786807914173268</v>
      </c>
      <c r="U129" s="373"/>
      <c r="V129" s="330">
        <f t="shared" si="31"/>
        <v>14.231941838649155</v>
      </c>
      <c r="W129" s="377">
        <f t="shared" si="32"/>
        <v>22.974124452782988</v>
      </c>
      <c r="X129" s="380"/>
      <c r="Y129" s="332">
        <f>('Table S-1a'!AV$16*(J129/100))/H129</f>
        <v>7.5885638955260773E-3</v>
      </c>
      <c r="Z129" s="332">
        <f>('Table S-1a'!AW$16*(K129/100))/H129</f>
        <v>0</v>
      </c>
      <c r="AA129" s="332">
        <f t="shared" ref="AA129:AA130" si="36">1-(Y129+Z129)</f>
        <v>0.99241143610447391</v>
      </c>
      <c r="AB129" s="332">
        <f>('Table S-1a'!AX$16*(J129/100))/I129</f>
        <v>5.179740374636338E-3</v>
      </c>
      <c r="AC129" s="383">
        <f t="shared" ref="AC129:AC130" si="37">1-(AB129)</f>
        <v>0.99482025962536369</v>
      </c>
    </row>
    <row r="130" spans="1:32">
      <c r="B130" s="342" t="s">
        <v>172</v>
      </c>
      <c r="C130" s="355"/>
      <c r="D130" s="362">
        <v>0.45</v>
      </c>
      <c r="E130" s="343">
        <v>7.0000000000000007E-2</v>
      </c>
      <c r="F130" s="322">
        <v>0.49</v>
      </c>
      <c r="G130" s="343">
        <v>7.0000000000000007E-2</v>
      </c>
      <c r="H130" s="314">
        <v>67</v>
      </c>
      <c r="I130" s="344">
        <v>71.099999999999994</v>
      </c>
      <c r="J130" s="368">
        <v>2.86</v>
      </c>
      <c r="K130" s="375"/>
      <c r="L130" s="330">
        <f t="shared" si="28"/>
        <v>66.691119999999998</v>
      </c>
      <c r="M130" s="316">
        <f>(D130-(Y130*'Table S-1a'!$AV$17)-('Table S-1a'!$AW$17*Z130))/AA130</f>
        <v>0.4534736258740294</v>
      </c>
      <c r="N130" s="316">
        <f>$E130*(M130-'Table S-1a'!$AV$17)/($D130-'Table S-1a'!$AV$17)*(1/AA130)</f>
        <v>7.0649911719365299E-2</v>
      </c>
      <c r="O130" s="331">
        <f t="shared" si="29"/>
        <v>70.759659999999997</v>
      </c>
      <c r="P130" s="316">
        <f>(F130-(AB130*'Table S-1a'!$AX$17))/AC130</f>
        <v>0.4923568032972459</v>
      </c>
      <c r="Q130" s="316">
        <f>$G130*(P130-'Table S-1a'!$AX$17)/($F130-'Table S-1a'!$AX$17)*(1/AC130)</f>
        <v>7.0674991764747203E-2</v>
      </c>
      <c r="R130" s="315">
        <f>(H130/(J130*10000)*1000000)/'Table S-1a'!$AX$16</f>
        <v>196.86196156784393</v>
      </c>
      <c r="S130" s="315">
        <f>(I130/(J130*10000)*1000000)/'Table S-1a'!$AV$16</f>
        <v>230.18648018648014</v>
      </c>
      <c r="T130" s="377">
        <f t="shared" si="35"/>
        <v>1.1692786069651737</v>
      </c>
      <c r="U130" s="373"/>
      <c r="V130" s="330">
        <f t="shared" si="31"/>
        <v>23.426573426573427</v>
      </c>
      <c r="W130" s="377">
        <f t="shared" si="32"/>
        <v>24.86013986013986</v>
      </c>
      <c r="X130" s="380"/>
      <c r="Y130" s="332">
        <f>('Table S-1a'!AV$16*(J130/100))/H130</f>
        <v>4.6101492537313441E-3</v>
      </c>
      <c r="Z130" s="332">
        <f>('Table S-1a'!AW$16*(K130/100))/H130</f>
        <v>0</v>
      </c>
      <c r="AA130" s="332">
        <f t="shared" si="36"/>
        <v>0.99538985074626862</v>
      </c>
      <c r="AB130" s="332">
        <f>('Table S-1a'!AX$16*(J130/100))/I130</f>
        <v>4.7867791842475397E-3</v>
      </c>
      <c r="AC130" s="383">
        <f t="shared" si="37"/>
        <v>0.99521322081575248</v>
      </c>
    </row>
    <row r="131" spans="1:32">
      <c r="B131" s="342" t="s">
        <v>173</v>
      </c>
      <c r="C131" s="355"/>
      <c r="D131" s="362">
        <v>0.27</v>
      </c>
      <c r="E131" s="343">
        <v>0.04</v>
      </c>
      <c r="F131" s="322">
        <v>0.66</v>
      </c>
      <c r="G131" s="343">
        <v>0.04</v>
      </c>
      <c r="H131" s="314">
        <v>37.5</v>
      </c>
      <c r="I131" s="344">
        <v>83.4</v>
      </c>
      <c r="J131" s="368">
        <v>3.600754716981132</v>
      </c>
      <c r="K131" s="375"/>
      <c r="L131" s="330">
        <f t="shared" si="28"/>
        <v>37.111118490566035</v>
      </c>
      <c r="M131" s="316">
        <f>(D131-(Y131*'Table S-1a'!$AV$17)-('Table S-1a'!$AW$17*Z131))/AA131</f>
        <v>0.27597293936138589</v>
      </c>
      <c r="N131" s="316">
        <f>$E131*(M131-'Table S-1a'!$AV$17)/($D131-'Table S-1a'!$AV$17)*(1/AA131)</f>
        <v>4.0842699523126462E-2</v>
      </c>
      <c r="O131" s="331">
        <f t="shared" si="29"/>
        <v>82.971510188679247</v>
      </c>
      <c r="P131" s="316">
        <f>(F131-(AB131*'Table S-1a'!$AX$17))/AC131</f>
        <v>0.66340843832815144</v>
      </c>
      <c r="Q131" s="316">
        <f>$G131*(P131-'Table S-1a'!$AX$17)/($F131-'Table S-1a'!$AX$17)*(1/AC131)</f>
        <v>4.041421083976094E-2</v>
      </c>
      <c r="R131" s="315">
        <f>(H131/(J131*10000)*1000000)/'Table S-1a'!$AX$16</f>
        <v>87.516666696022384</v>
      </c>
      <c r="S131" s="315">
        <f>(I131/(J131*10000)*1000000)/'Table S-1a'!$AV$16</f>
        <v>214.46121241761568</v>
      </c>
      <c r="T131" s="377">
        <f t="shared" ref="T131:T139" si="38">S131/R131</f>
        <v>2.4505185185185181</v>
      </c>
      <c r="U131" s="373"/>
      <c r="V131" s="330">
        <f t="shared" si="31"/>
        <v>10.414483336826661</v>
      </c>
      <c r="W131" s="377">
        <f t="shared" si="32"/>
        <v>23.161810941102495</v>
      </c>
      <c r="X131" s="380"/>
      <c r="Y131" s="332">
        <f>('Table S-1a'!AV$16*(J131/100))/H131</f>
        <v>1.037017358490566E-2</v>
      </c>
      <c r="Z131" s="332">
        <f>('Table S-1a'!AW$16*(K131/100))/H131</f>
        <v>0</v>
      </c>
      <c r="AA131" s="332">
        <f t="shared" ref="AA131:AA139" si="39">1-(Y131+Z131)</f>
        <v>0.98962982641509434</v>
      </c>
      <c r="AB131" s="332">
        <f>('Table S-1a'!AX$16*(J131/100))/I131</f>
        <v>5.1377675218315906E-3</v>
      </c>
      <c r="AC131" s="383">
        <f t="shared" ref="AC131:AC139" si="40">1-(AB131)</f>
        <v>0.99486223247816841</v>
      </c>
    </row>
    <row r="132" spans="1:32">
      <c r="B132" s="342" t="s">
        <v>174</v>
      </c>
      <c r="C132" s="355"/>
      <c r="D132" s="362">
        <v>0.82</v>
      </c>
      <c r="E132" s="343">
        <v>0.02</v>
      </c>
      <c r="F132" s="322">
        <v>0.83</v>
      </c>
      <c r="G132" s="343">
        <v>0.08</v>
      </c>
      <c r="H132" s="314">
        <v>38.9</v>
      </c>
      <c r="I132" s="344">
        <v>59.5</v>
      </c>
      <c r="J132" s="368">
        <v>1.3981132075471698</v>
      </c>
      <c r="K132" s="375"/>
      <c r="L132" s="330">
        <f t="shared" si="28"/>
        <v>38.749003773584903</v>
      </c>
      <c r="M132" s="316">
        <f>(D132-(Y132*'Table S-1a'!$AV$17)-('Table S-1a'!$AW$17*Z132))/AA132</f>
        <v>0.82436439023240626</v>
      </c>
      <c r="N132" s="316">
        <f>$E132*(M132-'Table S-1a'!$AV$17)/($D132-'Table S-1a'!$AV$17)*(1/AA132)</f>
        <v>2.0156174777147498E-2</v>
      </c>
      <c r="O132" s="331">
        <f t="shared" si="29"/>
        <v>59.333624528301883</v>
      </c>
      <c r="P132" s="316">
        <f>(F132-(AB132*'Table S-1a'!$AX$17))/AC132</f>
        <v>0.83232737579420191</v>
      </c>
      <c r="Q132" s="316">
        <f>$G132*(P132-'Table S-1a'!$AX$17)/($F132-'Table S-1a'!$AX$17)*(1/AC132)</f>
        <v>8.0449279778947627E-2</v>
      </c>
      <c r="R132" s="315">
        <f>(H132/(J132*10000)*1000000)/'Table S-1a'!$AX$16</f>
        <v>233.80850315834834</v>
      </c>
      <c r="S132" s="315">
        <f>(I132/(J132*10000)*1000000)/'Table S-1a'!$AV$16</f>
        <v>394.04958264607387</v>
      </c>
      <c r="T132" s="377">
        <f t="shared" si="38"/>
        <v>1.685351804246406</v>
      </c>
      <c r="U132" s="373"/>
      <c r="V132" s="330">
        <f t="shared" si="31"/>
        <v>27.823211875843452</v>
      </c>
      <c r="W132" s="377">
        <f t="shared" si="32"/>
        <v>42.557354925775975</v>
      </c>
      <c r="X132" s="380"/>
      <c r="Y132" s="332">
        <f>('Table S-1a'!AV$16*(J132/100))/H132</f>
        <v>3.881651064655382E-3</v>
      </c>
      <c r="Z132" s="332">
        <f>('Table S-1a'!AW$16*(K132/100))/H132</f>
        <v>0</v>
      </c>
      <c r="AA132" s="332">
        <f t="shared" si="39"/>
        <v>0.99611834893534457</v>
      </c>
      <c r="AB132" s="332">
        <f>('Table S-1a'!AX$16*(J132/100))/I132</f>
        <v>2.7962264150943402E-3</v>
      </c>
      <c r="AC132" s="383">
        <f t="shared" si="40"/>
        <v>0.99720377358490564</v>
      </c>
    </row>
    <row r="133" spans="1:32">
      <c r="B133" s="342" t="s">
        <v>175</v>
      </c>
      <c r="C133" s="355"/>
      <c r="D133" s="362" t="s">
        <v>182</v>
      </c>
      <c r="E133" s="343"/>
      <c r="F133" s="322">
        <v>0.31</v>
      </c>
      <c r="G133" s="343">
        <v>7.0000000000000007E-2</v>
      </c>
      <c r="H133" s="314">
        <v>17.5</v>
      </c>
      <c r="I133" s="344">
        <v>20.5</v>
      </c>
      <c r="J133" s="368">
        <v>5.4354716981132079</v>
      </c>
      <c r="K133" s="375"/>
      <c r="L133" s="330">
        <f t="shared" si="28"/>
        <v>16.912969056603774</v>
      </c>
      <c r="M133" s="316"/>
      <c r="N133" s="316"/>
      <c r="O133" s="331">
        <f t="shared" si="29"/>
        <v>19.853178867924527</v>
      </c>
      <c r="P133" s="316">
        <f>(F133-(AB133*'Table S-1a'!$AX$17))/AC133</f>
        <v>0.32009987127388223</v>
      </c>
      <c r="Q133" s="316">
        <f>$G133*(P133-'Table S-1a'!$AX$17)/($F133-'Table S-1a'!$AX$17)*(1/AC133)</f>
        <v>7.4635535184900292E-2</v>
      </c>
      <c r="R133" s="315">
        <f>(H133/(J133*10000)*1000000)/'Table S-1a'!$AX$16</f>
        <v>27.055393109757087</v>
      </c>
      <c r="S133" s="315">
        <f>(I133/(J133*10000)*1000000)/'Table S-1a'!$AV$16</f>
        <v>34.921498143519798</v>
      </c>
      <c r="T133" s="377">
        <f t="shared" si="38"/>
        <v>1.2907407407407407</v>
      </c>
      <c r="U133" s="373"/>
      <c r="V133" s="330">
        <f t="shared" si="31"/>
        <v>3.2195917800610938</v>
      </c>
      <c r="W133" s="377">
        <f t="shared" si="32"/>
        <v>3.7715217995001384</v>
      </c>
      <c r="X133" s="380"/>
      <c r="Y133" s="332">
        <f>('Table S-1a'!AV$16*(J133/100))/H133</f>
        <v>3.3544625336927224E-2</v>
      </c>
      <c r="Z133" s="332">
        <f>('Table S-1a'!AW$16*(K133/100))/H133</f>
        <v>0</v>
      </c>
      <c r="AA133" s="332">
        <f t="shared" si="39"/>
        <v>0.96645537466307274</v>
      </c>
      <c r="AB133" s="332">
        <f>('Table S-1a'!AX$16*(J133/100))/I133</f>
        <v>3.1552250345144965E-2</v>
      </c>
      <c r="AC133" s="383">
        <f t="shared" si="40"/>
        <v>0.96844774965485503</v>
      </c>
    </row>
    <row r="134" spans="1:32">
      <c r="B134" s="342" t="s">
        <v>176</v>
      </c>
      <c r="C134" s="355"/>
      <c r="D134" s="362">
        <v>0.37</v>
      </c>
      <c r="E134" s="343">
        <v>0.03</v>
      </c>
      <c r="F134" s="322">
        <v>0.09</v>
      </c>
      <c r="G134" s="343">
        <v>0.04</v>
      </c>
      <c r="H134" s="314">
        <v>32.700000000000003</v>
      </c>
      <c r="I134" s="344">
        <v>64.099999999999994</v>
      </c>
      <c r="J134" s="368">
        <v>2.08</v>
      </c>
      <c r="K134" s="375"/>
      <c r="L134" s="330">
        <f t="shared" si="28"/>
        <v>32.475360000000002</v>
      </c>
      <c r="M134" s="316">
        <f>(D134-(Y134*'Table S-1a'!$AV$17)-('Table S-1a'!$AW$17*Z134))/AA134</f>
        <v>0.37463455370471638</v>
      </c>
      <c r="N134" s="316">
        <f>$E134*(M134-'Table S-1a'!$AV$17)/($D134-'Table S-1a'!$AV$17)*(1/AA134)</f>
        <v>3.0416470108199728E-2</v>
      </c>
      <c r="O134" s="331">
        <f t="shared" si="29"/>
        <v>63.852479999999993</v>
      </c>
      <c r="P134" s="316">
        <f>(F134-(AB134*'Table S-1a'!$AX$17))/AC134</f>
        <v>9.0348879166478727E-2</v>
      </c>
      <c r="Q134" s="316">
        <f>$G134*(P134-'Table S-1a'!$AX$17)/($F134-'Table S-1a'!$AX$17)*(1/AC134)</f>
        <v>4.0310715884636909E-2</v>
      </c>
      <c r="R134" s="315">
        <f>(H134/(J134*10000)*1000000)/'Table S-1a'!$AX$16</f>
        <v>132.11053652230123</v>
      </c>
      <c r="S134" s="315">
        <f>(I134/(J134*10000)*1000000)/'Table S-1a'!$AV$16</f>
        <v>285.34544159544157</v>
      </c>
      <c r="T134" s="377">
        <f t="shared" si="38"/>
        <v>2.1598991958319171</v>
      </c>
      <c r="U134" s="373"/>
      <c r="V134" s="330">
        <f t="shared" si="31"/>
        <v>15.721153846153847</v>
      </c>
      <c r="W134" s="377">
        <f t="shared" si="32"/>
        <v>30.81730769230769</v>
      </c>
      <c r="X134" s="380"/>
      <c r="Y134" s="332">
        <f>('Table S-1a'!AV$16*(J134/100))/H134</f>
        <v>6.8697247706422018E-3</v>
      </c>
      <c r="Z134" s="332">
        <f>('Table S-1a'!AW$16*(K134/100))/H134</f>
        <v>0</v>
      </c>
      <c r="AA134" s="332">
        <f t="shared" si="39"/>
        <v>0.99313027522935782</v>
      </c>
      <c r="AB134" s="332">
        <f>('Table S-1a'!AX$16*(J134/100))/I134</f>
        <v>3.8614664586583466E-3</v>
      </c>
      <c r="AC134" s="383">
        <f t="shared" si="40"/>
        <v>0.99613853354134163</v>
      </c>
    </row>
    <row r="135" spans="1:32">
      <c r="B135" s="342" t="s">
        <v>177</v>
      </c>
      <c r="C135" s="355"/>
      <c r="D135" s="362">
        <v>-0.08</v>
      </c>
      <c r="E135" s="343">
        <v>0.06</v>
      </c>
      <c r="F135" s="322">
        <v>0.14000000000000001</v>
      </c>
      <c r="G135" s="343">
        <v>0.08</v>
      </c>
      <c r="H135" s="314">
        <v>32.6</v>
      </c>
      <c r="I135" s="344">
        <v>37.5</v>
      </c>
      <c r="J135" s="368">
        <v>1.7856603773584907</v>
      </c>
      <c r="K135" s="375"/>
      <c r="L135" s="330">
        <f t="shared" si="28"/>
        <v>32.407148679245282</v>
      </c>
      <c r="M135" s="316">
        <f>(D135-(Y135*'Table S-1a'!$AV$17)-('Table S-1a'!$AW$17*Z135))/AA135</f>
        <v>-7.8690804581854207E-2</v>
      </c>
      <c r="N135" s="316">
        <f>$E135*(M135-'Table S-1a'!$AV$17)/($D135-'Table S-1a'!$AV$17)*(1/AA135)</f>
        <v>6.0716231375983948E-2</v>
      </c>
      <c r="O135" s="331">
        <f t="shared" si="29"/>
        <v>37.287506415094342</v>
      </c>
      <c r="P135" s="316">
        <f>(F135-(AB135*'Table S-1a'!$AX$17))/AC135</f>
        <v>0.14079783028544784</v>
      </c>
      <c r="Q135" s="316">
        <f>$G135*(P135-'Table S-1a'!$AX$17)/($F135-'Table S-1a'!$AX$17)*(1/AC135)</f>
        <v>8.0914404135060278E-2</v>
      </c>
      <c r="R135" s="315">
        <f>(H135/(J135*10000)*1000000)/'Table S-1a'!$AX$16</f>
        <v>153.41639614425651</v>
      </c>
      <c r="S135" s="315">
        <f>(I135/(J135*10000)*1000000)/'Table S-1a'!$AV$16</f>
        <v>194.45031464262232</v>
      </c>
      <c r="T135" s="377">
        <f t="shared" si="38"/>
        <v>1.2674676209952283</v>
      </c>
      <c r="U135" s="373"/>
      <c r="V135" s="330">
        <f t="shared" si="31"/>
        <v>18.256551141166526</v>
      </c>
      <c r="W135" s="377">
        <f t="shared" si="32"/>
        <v>21.000633981403212</v>
      </c>
      <c r="X135" s="380"/>
      <c r="Y135" s="332">
        <f>('Table S-1a'!AV$16*(J135/100))/H135</f>
        <v>5.9156846857275156E-3</v>
      </c>
      <c r="Z135" s="332">
        <f>('Table S-1a'!AW$16*(K135/100))/H135</f>
        <v>0</v>
      </c>
      <c r="AA135" s="332">
        <f t="shared" si="39"/>
        <v>0.99408431531427244</v>
      </c>
      <c r="AB135" s="332">
        <f>('Table S-1a'!AX$16*(J135/100))/I135</f>
        <v>5.666495597484277E-3</v>
      </c>
      <c r="AC135" s="383">
        <f t="shared" si="40"/>
        <v>0.99433350440251578</v>
      </c>
    </row>
    <row r="136" spans="1:32">
      <c r="B136" s="342" t="s">
        <v>178</v>
      </c>
      <c r="C136" s="355"/>
      <c r="D136" s="362">
        <v>-0.05</v>
      </c>
      <c r="E136" s="343">
        <v>0.04</v>
      </c>
      <c r="F136" s="322">
        <v>0.33</v>
      </c>
      <c r="G136" s="343">
        <v>0.04</v>
      </c>
      <c r="H136" s="314">
        <v>51.6</v>
      </c>
      <c r="I136" s="344">
        <v>81.3</v>
      </c>
      <c r="J136" s="368">
        <v>3.3603773584905658</v>
      </c>
      <c r="K136" s="375"/>
      <c r="L136" s="330">
        <f t="shared" si="28"/>
        <v>51.23707924528302</v>
      </c>
      <c r="M136" s="316">
        <f>(D136-(Y136*'Table S-1a'!$AV$17)-('Table S-1a'!$AW$17*Z136))/AA136</f>
        <v>-4.8229208416722971E-2</v>
      </c>
      <c r="N136" s="316">
        <f>$E136*(M136-'Table S-1a'!$AV$17)/($D136-'Table S-1a'!$AV$17)*(1/AA136)</f>
        <v>4.0568660156460754E-2</v>
      </c>
      <c r="O136" s="331">
        <f t="shared" si="29"/>
        <v>80.900115094339625</v>
      </c>
      <c r="P136" s="316">
        <f>(F136-(AB136*'Table S-1a'!$AX$17))/AC136</f>
        <v>0.33163117220184474</v>
      </c>
      <c r="Q136" s="316">
        <f>$G136*(P136-'Table S-1a'!$AX$17)/($F136-'Table S-1a'!$AX$17)*(1/AC136)</f>
        <v>4.0396412993928224E-2</v>
      </c>
      <c r="R136" s="315">
        <f>(H136/(J136*10000)*1000000)/'Table S-1a'!$AX$16</f>
        <v>129.0371286077598</v>
      </c>
      <c r="S136" s="315">
        <f>(I136/(J136*10000)*1000000)/'Table S-1a'!$AV$16</f>
        <v>224.01584627862002</v>
      </c>
      <c r="T136" s="377">
        <f t="shared" si="38"/>
        <v>1.7360572782084409</v>
      </c>
      <c r="U136" s="373"/>
      <c r="V136" s="330">
        <f t="shared" si="31"/>
        <v>15.355418304323415</v>
      </c>
      <c r="W136" s="377">
        <f t="shared" si="32"/>
        <v>24.193711398090961</v>
      </c>
      <c r="X136" s="380"/>
      <c r="Y136" s="332">
        <f>('Table S-1a'!AV$16*(J136/100))/H136</f>
        <v>7.0333479596314166E-3</v>
      </c>
      <c r="Z136" s="332">
        <f>('Table S-1a'!AW$16*(K136/100))/H136</f>
        <v>0</v>
      </c>
      <c r="AA136" s="332">
        <f t="shared" si="39"/>
        <v>0.9929666520403686</v>
      </c>
      <c r="AB136" s="332">
        <f>('Table S-1a'!AX$16*(J136/100))/I136</f>
        <v>4.9186335259579009E-3</v>
      </c>
      <c r="AC136" s="383">
        <f t="shared" si="40"/>
        <v>0.99508136647404211</v>
      </c>
    </row>
    <row r="137" spans="1:32">
      <c r="B137" s="342" t="s">
        <v>179</v>
      </c>
      <c r="C137" s="355"/>
      <c r="D137" s="362">
        <v>0.53</v>
      </c>
      <c r="E137" s="343">
        <v>0.08</v>
      </c>
      <c r="F137" s="322">
        <v>-0.1</v>
      </c>
      <c r="G137" s="343">
        <v>7.0000000000000007E-2</v>
      </c>
      <c r="H137" s="314">
        <v>74.5</v>
      </c>
      <c r="I137" s="344">
        <v>158.4</v>
      </c>
      <c r="J137" s="368">
        <v>1.020377358490566</v>
      </c>
      <c r="K137" s="375"/>
      <c r="L137" s="330">
        <f t="shared" si="28"/>
        <v>74.389799245283015</v>
      </c>
      <c r="M137" s="316">
        <f>(D137-(Y137*'Table S-1a'!$AV$17)-('Table S-1a'!$AW$17*Z137))/AA137</f>
        <v>0.53122955872099487</v>
      </c>
      <c r="N137" s="316">
        <f>$E137*(M137-'Table S-1a'!$AV$17)/($D137-'Table S-1a'!$AV$17)*(1/AA137)</f>
        <v>8.0237198930643017E-2</v>
      </c>
      <c r="O137" s="331">
        <f t="shared" si="29"/>
        <v>158.27857509433963</v>
      </c>
      <c r="P137" s="316">
        <f>(F137-(AB137*'Table S-1a'!$AX$17))/AC137</f>
        <v>-0.10007671594565974</v>
      </c>
      <c r="Q137" s="316">
        <f>$G137*(P137-'Table S-1a'!$AX$17)/($F137-'Table S-1a'!$AX$17)*(1/AC137)</f>
        <v>7.0107443521277846E-2</v>
      </c>
      <c r="R137" s="315">
        <f>(H137/(J137*10000)*1000000)/'Table S-1a'!$AX$16</f>
        <v>613.54793396648597</v>
      </c>
      <c r="S137" s="315">
        <f>(I137/(J137*10000)*1000000)/'Table S-1a'!$AV$16</f>
        <v>1437.3767258382641</v>
      </c>
      <c r="T137" s="377">
        <f t="shared" si="38"/>
        <v>2.3427293064876955</v>
      </c>
      <c r="U137" s="373"/>
      <c r="V137" s="330">
        <f t="shared" si="31"/>
        <v>73.012204142011839</v>
      </c>
      <c r="W137" s="377">
        <f t="shared" si="32"/>
        <v>155.23668639053255</v>
      </c>
      <c r="X137" s="380"/>
      <c r="Y137" s="332">
        <f>('Table S-1a'!AV$16*(J137/100))/H137</f>
        <v>1.4792047613017602E-3</v>
      </c>
      <c r="Z137" s="332">
        <f>('Table S-1a'!AW$16*(K137/100))/H137</f>
        <v>0</v>
      </c>
      <c r="AA137" s="332">
        <f t="shared" si="39"/>
        <v>0.99852079523869819</v>
      </c>
      <c r="AB137" s="332">
        <f>('Table S-1a'!AX$16*(J137/100))/I137</f>
        <v>7.6657137411854383E-4</v>
      </c>
      <c r="AC137" s="383">
        <f t="shared" si="40"/>
        <v>0.99923342862588149</v>
      </c>
    </row>
    <row r="138" spans="1:32">
      <c r="B138" s="342" t="s">
        <v>180</v>
      </c>
      <c r="C138" s="355"/>
      <c r="D138" s="362">
        <v>-0.04</v>
      </c>
      <c r="E138" s="343">
        <v>0.09</v>
      </c>
      <c r="F138" s="322">
        <v>1.57</v>
      </c>
      <c r="G138" s="343">
        <v>0.08</v>
      </c>
      <c r="H138" s="314">
        <v>64.3</v>
      </c>
      <c r="I138" s="344">
        <v>144.69999999999999</v>
      </c>
      <c r="J138" s="368">
        <v>1.8592452830188679</v>
      </c>
      <c r="K138" s="375"/>
      <c r="L138" s="330">
        <f t="shared" si="28"/>
        <v>64.099201509433954</v>
      </c>
      <c r="M138" s="316">
        <f>(D138-(Y138*'Table S-1a'!$AV$17)-('Table S-1a'!$AW$17*Z138))/AA138</f>
        <v>-3.9185518597458877E-2</v>
      </c>
      <c r="N138" s="316">
        <f>$E138*(M138-'Table S-1a'!$AV$17)/($D138-'Table S-1a'!$AV$17)*(1/AA138)</f>
        <v>9.0564754938385811E-2</v>
      </c>
      <c r="O138" s="331">
        <f t="shared" si="29"/>
        <v>144.47874981132074</v>
      </c>
      <c r="P138" s="316">
        <f>(F138-(AB138*'Table S-1a'!$AX$17))/AC138</f>
        <v>1.5724042483526475</v>
      </c>
      <c r="Q138" s="316">
        <f>$G138*(P138-'Table S-1a'!$AX$17)/($F138-'Table S-1a'!$AX$17)*(1/AC138)</f>
        <v>8.0245206547525802E-2</v>
      </c>
      <c r="R138" s="315">
        <f>(H138/(J138*10000)*1000000)/'Table S-1a'!$AX$16</f>
        <v>290.62122108839475</v>
      </c>
      <c r="S138" s="315">
        <f>(I138/(J138*10000)*1000000)/'Table S-1a'!$AV$16</f>
        <v>720.62294687624501</v>
      </c>
      <c r="T138" s="377">
        <f t="shared" si="38"/>
        <v>2.4795950694084441</v>
      </c>
      <c r="U138" s="373"/>
      <c r="V138" s="330">
        <f t="shared" si="31"/>
        <v>34.583925309518975</v>
      </c>
      <c r="W138" s="377">
        <f t="shared" si="32"/>
        <v>77.827278262634451</v>
      </c>
      <c r="X138" s="380"/>
      <c r="Y138" s="332">
        <f>('Table S-1a'!AV$16*(J138/100))/H138</f>
        <v>3.1228381114469326E-3</v>
      </c>
      <c r="Z138" s="332">
        <f>('Table S-1a'!AW$16*(K138/100))/H138</f>
        <v>0</v>
      </c>
      <c r="AA138" s="332">
        <f t="shared" si="39"/>
        <v>0.99687716188855302</v>
      </c>
      <c r="AB138" s="332">
        <f>('Table S-1a'!AX$16*(J138/100))/I138</f>
        <v>1.529026874079097E-3</v>
      </c>
      <c r="AC138" s="383">
        <f t="shared" si="40"/>
        <v>0.99847097312592092</v>
      </c>
    </row>
    <row r="139" spans="1:32">
      <c r="B139" s="342" t="s">
        <v>181</v>
      </c>
      <c r="C139" s="355"/>
      <c r="D139" s="362">
        <v>0.46</v>
      </c>
      <c r="E139" s="343">
        <v>0</v>
      </c>
      <c r="F139" s="322" t="s">
        <v>182</v>
      </c>
      <c r="G139" s="343"/>
      <c r="H139" s="314">
        <v>12.7</v>
      </c>
      <c r="I139" s="344">
        <v>26.3</v>
      </c>
      <c r="J139" s="368">
        <v>1.9671698113207545</v>
      </c>
      <c r="K139" s="375"/>
      <c r="L139" s="330">
        <f t="shared" si="28"/>
        <v>12.487545660377357</v>
      </c>
      <c r="M139" s="316">
        <f>(D139-(Y139*'Table S-1a'!$AV$17)-('Table S-1a'!$AW$17*Z139))/AA139</f>
        <v>0.47293010672429669</v>
      </c>
      <c r="N139" s="316">
        <f>$E139*(M139-'Table S-1a'!$AV$17)/($D139-'Table S-1a'!$AV$17)*(1/AA139)</f>
        <v>0</v>
      </c>
      <c r="O139" s="331">
        <f t="shared" si="29"/>
        <v>26.065906792452832</v>
      </c>
      <c r="P139" s="316"/>
      <c r="Q139" s="316"/>
      <c r="R139" s="315">
        <f>(H139/(J139*10000)*1000000)/'Table S-1a'!$AX$16</f>
        <v>54.251894504204905</v>
      </c>
      <c r="S139" s="315">
        <f>(I139/(J139*10000)*1000000)/'Table S-1a'!$AV$16</f>
        <v>123.79130521275161</v>
      </c>
      <c r="T139" s="377">
        <f t="shared" si="38"/>
        <v>2.2817876932050161</v>
      </c>
      <c r="U139" s="373"/>
      <c r="V139" s="330">
        <f t="shared" si="31"/>
        <v>6.4559754460003838</v>
      </c>
      <c r="W139" s="377">
        <f t="shared" si="32"/>
        <v>13.369460962977174</v>
      </c>
      <c r="X139" s="380"/>
      <c r="Y139" s="332">
        <f>('Table S-1a'!AV$16*(J139/100))/H139</f>
        <v>1.6728688159263112E-2</v>
      </c>
      <c r="Z139" s="332">
        <f>('Table S-1a'!AW$16*(K139/100))/H139</f>
        <v>0</v>
      </c>
      <c r="AA139" s="332">
        <f t="shared" si="39"/>
        <v>0.98327131184073691</v>
      </c>
      <c r="AB139" s="332">
        <f>('Table S-1a'!AX$16*(J139/100))/I139</f>
        <v>8.9008824162421975E-3</v>
      </c>
      <c r="AC139" s="383">
        <f t="shared" si="40"/>
        <v>0.99109911758375779</v>
      </c>
    </row>
    <row r="140" spans="1:32">
      <c r="C140" s="355"/>
      <c r="D140" s="366"/>
      <c r="E140" s="334"/>
      <c r="F140" s="334"/>
      <c r="G140" s="322"/>
      <c r="H140" s="335"/>
      <c r="I140" s="339"/>
      <c r="J140" s="365"/>
      <c r="K140" s="375"/>
      <c r="L140" s="330"/>
      <c r="M140" s="316"/>
      <c r="N140" s="316"/>
      <c r="O140" s="331"/>
      <c r="P140" s="316"/>
      <c r="Q140" s="316"/>
      <c r="R140" s="315"/>
      <c r="S140" s="315"/>
      <c r="T140" s="377"/>
      <c r="U140" s="373"/>
      <c r="V140" s="330"/>
      <c r="W140" s="377"/>
      <c r="X140" s="380"/>
      <c r="Y140" s="332"/>
      <c r="Z140" s="332"/>
      <c r="AA140" s="332"/>
      <c r="AB140" s="332"/>
      <c r="AC140" s="383"/>
    </row>
    <row r="141" spans="1:32">
      <c r="C141" s="355"/>
      <c r="D141" s="366"/>
      <c r="E141" s="334"/>
      <c r="F141" s="334"/>
      <c r="G141" s="322"/>
      <c r="H141" s="335"/>
      <c r="I141" s="339"/>
      <c r="J141" s="365"/>
      <c r="K141" s="375"/>
      <c r="L141" s="330"/>
      <c r="M141" s="316"/>
      <c r="N141" s="316"/>
      <c r="O141" s="331"/>
      <c r="P141" s="316"/>
      <c r="Q141" s="316"/>
      <c r="R141" s="315"/>
      <c r="S141" s="315"/>
      <c r="T141" s="377"/>
      <c r="U141" s="373"/>
      <c r="V141" s="330"/>
      <c r="W141" s="377"/>
      <c r="X141" s="380"/>
      <c r="Y141" s="332"/>
      <c r="Z141" s="332"/>
      <c r="AA141" s="332"/>
      <c r="AB141" s="332"/>
      <c r="AC141" s="383"/>
    </row>
    <row r="142" spans="1:32">
      <c r="C142" s="355"/>
      <c r="D142" s="366"/>
      <c r="E142" s="334"/>
      <c r="F142" s="334"/>
      <c r="G142" s="322"/>
      <c r="H142" s="335"/>
      <c r="I142" s="339"/>
      <c r="J142" s="365"/>
      <c r="K142" s="375"/>
      <c r="L142" s="330"/>
      <c r="M142" s="316"/>
      <c r="N142" s="316"/>
      <c r="O142" s="331"/>
      <c r="P142" s="316"/>
      <c r="Q142" s="316"/>
      <c r="R142" s="315"/>
      <c r="S142" s="315"/>
      <c r="T142" s="377"/>
      <c r="U142" s="373"/>
      <c r="V142" s="330"/>
      <c r="W142" s="377"/>
      <c r="X142" s="380"/>
      <c r="Y142" s="332"/>
      <c r="Z142" s="332"/>
      <c r="AA142" s="332"/>
      <c r="AB142" s="332"/>
      <c r="AC142" s="383"/>
    </row>
    <row r="143" spans="1:32">
      <c r="A143" s="351" t="s">
        <v>228</v>
      </c>
      <c r="C143" s="355"/>
      <c r="D143" s="362" t="s">
        <v>30</v>
      </c>
      <c r="E143" s="322"/>
      <c r="F143" s="322"/>
      <c r="G143" s="322"/>
      <c r="H143" s="322" t="s">
        <v>50</v>
      </c>
      <c r="I143" s="323"/>
      <c r="J143" s="361"/>
      <c r="K143" s="374"/>
      <c r="L143" s="312" t="s">
        <v>41</v>
      </c>
      <c r="R143" s="313"/>
      <c r="S143" s="313"/>
      <c r="T143" s="358"/>
      <c r="U143" s="373"/>
      <c r="V143" s="312" t="s">
        <v>43</v>
      </c>
      <c r="W143" s="358"/>
      <c r="X143" s="380"/>
      <c r="Z143" s="321"/>
      <c r="AA143" s="321"/>
      <c r="AB143" s="325"/>
      <c r="AC143" s="385"/>
      <c r="AD143" s="328"/>
      <c r="AE143" s="327"/>
      <c r="AF143" s="327"/>
    </row>
    <row r="144" spans="1:32" ht="13.8">
      <c r="A144" s="386" t="s">
        <v>244</v>
      </c>
      <c r="B144" s="311"/>
      <c r="C144" s="354"/>
      <c r="D144" s="362" t="s">
        <v>224</v>
      </c>
      <c r="E144" s="322" t="s">
        <v>29</v>
      </c>
      <c r="F144" s="322" t="s">
        <v>225</v>
      </c>
      <c r="G144" s="324" t="s">
        <v>29</v>
      </c>
      <c r="H144" s="322" t="s">
        <v>31</v>
      </c>
      <c r="I144" s="322" t="s">
        <v>32</v>
      </c>
      <c r="J144" s="364" t="s">
        <v>52</v>
      </c>
      <c r="K144" s="373" t="s">
        <v>53</v>
      </c>
      <c r="L144" s="316" t="s">
        <v>58</v>
      </c>
      <c r="M144" s="316" t="s">
        <v>226</v>
      </c>
      <c r="N144" s="316" t="s">
        <v>27</v>
      </c>
      <c r="O144" s="316" t="s">
        <v>32</v>
      </c>
      <c r="P144" s="316" t="s">
        <v>225</v>
      </c>
      <c r="Q144" s="316" t="s">
        <v>27</v>
      </c>
      <c r="R144" s="313" t="s">
        <v>36</v>
      </c>
      <c r="S144" s="313" t="s">
        <v>37</v>
      </c>
      <c r="T144" s="358"/>
      <c r="U144" s="373"/>
      <c r="V144" s="313" t="s">
        <v>61</v>
      </c>
      <c r="W144" s="358" t="s">
        <v>63</v>
      </c>
      <c r="X144" s="380"/>
      <c r="Y144" s="318" t="s">
        <v>38</v>
      </c>
      <c r="Z144" s="318" t="s">
        <v>39</v>
      </c>
      <c r="AA144" s="319" t="s">
        <v>40</v>
      </c>
      <c r="AB144" s="318" t="s">
        <v>42</v>
      </c>
      <c r="AC144" s="382" t="s">
        <v>45</v>
      </c>
    </row>
    <row r="145" spans="2:29">
      <c r="B145" s="313" t="s">
        <v>24</v>
      </c>
      <c r="C145" s="354"/>
      <c r="D145" s="362" t="s">
        <v>66</v>
      </c>
      <c r="E145" s="322"/>
      <c r="F145" s="322" t="s">
        <v>86</v>
      </c>
      <c r="G145" s="324"/>
      <c r="H145" s="324" t="s">
        <v>51</v>
      </c>
      <c r="I145" s="322" t="s">
        <v>51</v>
      </c>
      <c r="J145" s="364" t="s">
        <v>33</v>
      </c>
      <c r="K145" s="373" t="s">
        <v>33</v>
      </c>
      <c r="L145" s="313" t="s">
        <v>51</v>
      </c>
      <c r="O145" s="313" t="s">
        <v>51</v>
      </c>
      <c r="R145" s="312" t="s">
        <v>55</v>
      </c>
      <c r="S145" s="312" t="s">
        <v>56</v>
      </c>
      <c r="T145" s="354"/>
      <c r="U145" s="379"/>
      <c r="V145" s="313" t="s">
        <v>62</v>
      </c>
      <c r="W145" s="358" t="s">
        <v>62</v>
      </c>
      <c r="X145" s="381"/>
      <c r="Y145" s="319"/>
      <c r="Z145" s="320" t="s">
        <v>57</v>
      </c>
      <c r="AA145" s="319"/>
      <c r="AB145" s="319"/>
      <c r="AC145" s="382"/>
    </row>
    <row r="146" spans="2:29">
      <c r="B146" s="345" t="s">
        <v>183</v>
      </c>
      <c r="C146" s="355"/>
      <c r="D146" s="362"/>
      <c r="E146" s="343"/>
      <c r="F146" s="322"/>
      <c r="G146" s="343"/>
      <c r="I146" s="344"/>
      <c r="J146" s="368"/>
      <c r="K146" s="375"/>
      <c r="L146" s="330"/>
      <c r="M146" s="316"/>
      <c r="N146" s="316"/>
      <c r="O146" s="331"/>
      <c r="P146" s="316"/>
      <c r="Q146" s="316"/>
      <c r="R146" s="315"/>
      <c r="S146" s="315"/>
      <c r="T146" s="377"/>
      <c r="U146" s="373"/>
      <c r="V146" s="330"/>
      <c r="W146" s="377"/>
      <c r="X146" s="380"/>
      <c r="Y146" s="332"/>
      <c r="Z146" s="332"/>
      <c r="AA146" s="332"/>
      <c r="AB146" s="332"/>
      <c r="AC146" s="383"/>
    </row>
    <row r="147" spans="2:29">
      <c r="B147" s="346" t="s">
        <v>184</v>
      </c>
      <c r="C147" s="355"/>
      <c r="D147" s="369">
        <v>0.54</v>
      </c>
      <c r="E147" s="347">
        <v>0.08</v>
      </c>
      <c r="F147" s="348">
        <v>0.82</v>
      </c>
      <c r="G147" s="347">
        <v>0.11</v>
      </c>
      <c r="H147" s="349">
        <v>42.728644626421975</v>
      </c>
      <c r="I147" s="349">
        <v>358.04878704849057</v>
      </c>
      <c r="J147" s="370">
        <v>8.8293442776826865</v>
      </c>
      <c r="K147" s="375"/>
      <c r="L147" s="330">
        <f t="shared" ref="L147:L178" si="41">AA147*H147</f>
        <v>41.775075444432247</v>
      </c>
      <c r="M147" s="316">
        <f>(D147-(Y147*'Table S-1a'!$AV$17)-('Table S-1a'!$AW$17*Z147))/AA147</f>
        <v>0.5591740674157929</v>
      </c>
      <c r="N147" s="316">
        <f>$E147*(M147-'Table S-1a'!$AV$17)/($D147-'Table S-1a'!$AV$17)*(1/AA147)</f>
        <v>8.3693886408140267E-2</v>
      </c>
      <c r="O147" s="331">
        <f t="shared" ref="O147:O178" si="42">I147*AC147</f>
        <v>356.99809507944633</v>
      </c>
      <c r="P147" s="316">
        <f>(F147-(AB147*'Table S-1a'!$AX$17))/AC147</f>
        <v>0.82241336698008016</v>
      </c>
      <c r="Q147" s="316">
        <f>$G147*(P147-'Table S-1a'!$AX$17)/($F147-'Table S-1a'!$AX$17)*(1/AC147)</f>
        <v>0.1106484415238345</v>
      </c>
      <c r="R147" s="315">
        <f>(H147/(J147*10000)*1000000)/'Table S-1a'!$AX$16</f>
        <v>40.667146875872689</v>
      </c>
      <c r="S147" s="315">
        <f>(I147/(J147*10000)*1000000)/'Table S-1a'!$AV$16</f>
        <v>375.48275868288988</v>
      </c>
      <c r="T147" s="377">
        <f t="shared" ref="T147:T163" si="43">S147/R147</f>
        <v>9.233073562523737</v>
      </c>
      <c r="U147" s="373"/>
      <c r="V147" s="330">
        <f t="shared" ref="V147:V178" si="44">H147/J147</f>
        <v>4.8393904782288502</v>
      </c>
      <c r="W147" s="377">
        <f t="shared" ref="W147:W178" si="45">I147/J147</f>
        <v>40.552137937752107</v>
      </c>
      <c r="X147" s="380"/>
      <c r="Y147" s="332">
        <f>('Table S-1a'!AV$16*(J147/100))/H147</f>
        <v>2.2316860043814137E-2</v>
      </c>
      <c r="Z147" s="332">
        <f>('Table S-1a'!AW$16*(K147/100))/H147</f>
        <v>0</v>
      </c>
      <c r="AA147" s="332">
        <f t="shared" ref="AA147:AA163" si="46">1-(Y147+Z147)</f>
        <v>0.97768313995618583</v>
      </c>
      <c r="AB147" s="332">
        <f>('Table S-1a'!AX$16*(J147/100))/I147</f>
        <v>2.9344938652227427E-3</v>
      </c>
      <c r="AC147" s="383">
        <f t="shared" ref="AC147:AC163" si="47">1-(AB147)</f>
        <v>0.99706550613477729</v>
      </c>
    </row>
    <row r="148" spans="2:29">
      <c r="B148" s="346" t="s">
        <v>185</v>
      </c>
      <c r="C148" s="355"/>
      <c r="D148" s="369">
        <v>0.4</v>
      </c>
      <c r="E148" s="347">
        <v>0.08</v>
      </c>
      <c r="F148" s="348">
        <v>0.98</v>
      </c>
      <c r="G148" s="347">
        <v>0.11</v>
      </c>
      <c r="H148" s="349">
        <v>49.176391398317016</v>
      </c>
      <c r="I148" s="349">
        <v>459.43460269462327</v>
      </c>
      <c r="J148" s="370">
        <v>8.3142163818117059</v>
      </c>
      <c r="K148" s="375"/>
      <c r="L148" s="330">
        <f t="shared" si="41"/>
        <v>48.278456029081347</v>
      </c>
      <c r="M148" s="316">
        <f>(D148-(Y148*'Table S-1a'!$AV$17)-('Table S-1a'!$AW$17*Z148))/AA148</f>
        <v>0.41301936329708527</v>
      </c>
      <c r="N148" s="316">
        <f>$E148*(M148-'Table S-1a'!$AV$17)/($D148-'Table S-1a'!$AV$17)*(1/AA148)</f>
        <v>8.300352856107443E-2</v>
      </c>
      <c r="O148" s="331">
        <f t="shared" si="42"/>
        <v>458.44521094518768</v>
      </c>
      <c r="P148" s="316">
        <f>(F148-(AB148*'Table S-1a'!$AX$17))/AC148</f>
        <v>0.98211498318948043</v>
      </c>
      <c r="Q148" s="316">
        <f>$G148*(P148-'Table S-1a'!$AX$17)/($F148-'Table S-1a'!$AX$17)*(1/AC148)</f>
        <v>0.11047530447998757</v>
      </c>
      <c r="R148" s="315">
        <f>(H148/(J148*10000)*1000000)/'Table S-1a'!$AX$16</f>
        <v>49.703660280541158</v>
      </c>
      <c r="S148" s="315">
        <f>(I148/(J148*10000)*1000000)/'Table S-1a'!$AV$16</f>
        <v>511.65664972714103</v>
      </c>
      <c r="T148" s="377">
        <f t="shared" si="43"/>
        <v>10.294144271049856</v>
      </c>
      <c r="U148" s="373"/>
      <c r="V148" s="330">
        <f t="shared" si="44"/>
        <v>5.914735573384398</v>
      </c>
      <c r="W148" s="377">
        <f t="shared" si="45"/>
        <v>55.258918170531224</v>
      </c>
      <c r="X148" s="374"/>
      <c r="Y148" s="332">
        <f>('Table S-1a'!AV$16*(J148/100))/H148</f>
        <v>1.8259480691915814E-2</v>
      </c>
      <c r="Z148" s="332">
        <f>('Table S-1a'!AW$16*(K148/100))/H148</f>
        <v>0</v>
      </c>
      <c r="AA148" s="332">
        <f t="shared" si="46"/>
        <v>0.98174051930808415</v>
      </c>
      <c r="AB148" s="332">
        <f>('Table S-1a'!AX$16*(J148/100))/I148</f>
        <v>2.1534985471985042E-3</v>
      </c>
      <c r="AC148" s="383">
        <f t="shared" si="47"/>
        <v>0.99784650145280152</v>
      </c>
    </row>
    <row r="149" spans="2:29">
      <c r="B149" s="346" t="s">
        <v>186</v>
      </c>
      <c r="C149" s="355"/>
      <c r="D149" s="369">
        <v>0.46</v>
      </c>
      <c r="E149" s="347">
        <v>0.08</v>
      </c>
      <c r="F149" s="348">
        <v>0.95</v>
      </c>
      <c r="G149" s="347">
        <v>0.11</v>
      </c>
      <c r="H149" s="349">
        <v>57.411477983549268</v>
      </c>
      <c r="I149" s="349">
        <v>472.97435356329595</v>
      </c>
      <c r="J149" s="370">
        <v>7.574416071613844</v>
      </c>
      <c r="K149" s="375"/>
      <c r="L149" s="330">
        <f t="shared" si="41"/>
        <v>56.59344104781497</v>
      </c>
      <c r="M149" s="316">
        <f>(D149-(Y149*'Table S-1a'!$AV$17)-('Table S-1a'!$AW$17*Z149))/AA149</f>
        <v>0.47098551456930837</v>
      </c>
      <c r="N149" s="316">
        <f>$E149*(M149-'Table S-1a'!$AV$17)/($D149-'Table S-1a'!$AV$17)*(1/AA149)</f>
        <v>8.2329454802728685E-2</v>
      </c>
      <c r="O149" s="331">
        <f t="shared" si="42"/>
        <v>472.07299805077389</v>
      </c>
      <c r="P149" s="316">
        <f>(F149-(AB149*'Table S-1a'!$AX$17))/AC149</f>
        <v>0.95181388840376724</v>
      </c>
      <c r="Q149" s="316">
        <f>$G149*(P149-'Table S-1a'!$AX$17)/($F149-'Table S-1a'!$AX$17)*(1/AC149)</f>
        <v>0.11042045938771512</v>
      </c>
      <c r="R149" s="315">
        <f>(H149/(J149*10000)*1000000)/'Table S-1a'!$AX$16</f>
        <v>63.694599063258025</v>
      </c>
      <c r="S149" s="315">
        <f>(I149/(J149*10000)*1000000)/'Table S-1a'!$AV$16</f>
        <v>578.18214912110238</v>
      </c>
      <c r="T149" s="377">
        <f t="shared" si="43"/>
        <v>9.077412490608241</v>
      </c>
      <c r="U149" s="373"/>
      <c r="V149" s="330">
        <f t="shared" si="44"/>
        <v>7.5796572885277058</v>
      </c>
      <c r="W149" s="377">
        <f t="shared" si="45"/>
        <v>62.443672105079067</v>
      </c>
      <c r="X149" s="374"/>
      <c r="Y149" s="332">
        <f>('Table S-1a'!AV$16*(J149/100))/H149</f>
        <v>1.4248665327318281E-2</v>
      </c>
      <c r="Z149" s="332">
        <f>('Table S-1a'!AW$16*(K149/100))/H149</f>
        <v>0</v>
      </c>
      <c r="AA149" s="332">
        <f t="shared" si="46"/>
        <v>0.98575133467268172</v>
      </c>
      <c r="AB149" s="332">
        <f>('Table S-1a'!AX$16*(J149/100))/I149</f>
        <v>1.9057175209002601E-3</v>
      </c>
      <c r="AC149" s="383">
        <f t="shared" si="47"/>
        <v>0.9980942824790997</v>
      </c>
    </row>
    <row r="150" spans="2:29">
      <c r="B150" s="346" t="s">
        <v>187</v>
      </c>
      <c r="C150" s="355"/>
      <c r="D150" s="369">
        <v>0.4</v>
      </c>
      <c r="E150" s="347">
        <v>0.08</v>
      </c>
      <c r="F150" s="348">
        <v>0.88</v>
      </c>
      <c r="G150" s="347">
        <v>0.11</v>
      </c>
      <c r="H150" s="349">
        <v>45.894426489599041</v>
      </c>
      <c r="I150" s="349">
        <v>302.47382441224624</v>
      </c>
      <c r="J150" s="370">
        <v>7.2974393696154474</v>
      </c>
      <c r="K150" s="375"/>
      <c r="L150" s="330">
        <f t="shared" si="41"/>
        <v>45.106303037680576</v>
      </c>
      <c r="M150" s="316">
        <f>(D150-(Y150*'Table S-1a'!$AV$17)-('Table S-1a'!$AW$17*Z150))/AA150</f>
        <v>0.41223080543493146</v>
      </c>
      <c r="N150" s="316">
        <f>$E150*(M150-'Table S-1a'!$AV$17)/($D150-'Table S-1a'!$AV$17)*(1/AA150)</f>
        <v>8.2820035952733267E-2</v>
      </c>
      <c r="O150" s="331">
        <f t="shared" si="42"/>
        <v>301.60542912726203</v>
      </c>
      <c r="P150" s="316">
        <f>(F150-(AB150*'Table S-1a'!$AX$17))/AC150</f>
        <v>0.88253373373615129</v>
      </c>
      <c r="Q150" s="316">
        <f>$G150*(P150-'Table S-1a'!$AX$17)/($F150-'Table S-1a'!$AX$17)*(1/AC150)</f>
        <v>0.11063434533839091</v>
      </c>
      <c r="R150" s="315">
        <f>(H150/(J150*10000)*1000000)/'Table S-1a'!$AX$16</f>
        <v>52.849695620390257</v>
      </c>
      <c r="S150" s="315">
        <f>(I150/(J150*10000)*1000000)/'Table S-1a'!$AV$16</f>
        <v>383.78990458405661</v>
      </c>
      <c r="T150" s="377">
        <f t="shared" si="43"/>
        <v>7.2619132443212093</v>
      </c>
      <c r="U150" s="373"/>
      <c r="V150" s="330">
        <f t="shared" si="44"/>
        <v>6.2891137788264402</v>
      </c>
      <c r="W150" s="377">
        <f t="shared" si="45"/>
        <v>41.449309695078107</v>
      </c>
      <c r="X150" s="380"/>
      <c r="Y150" s="332">
        <f>('Table S-1a'!AV$16*(J150/100))/H150</f>
        <v>1.7172530788615022E-2</v>
      </c>
      <c r="Z150" s="332">
        <f>('Table S-1a'!AW$16*(K150/100))/H150</f>
        <v>0</v>
      </c>
      <c r="AA150" s="332">
        <f t="shared" si="46"/>
        <v>0.98282746921138497</v>
      </c>
      <c r="AB150" s="332">
        <f>('Table S-1a'!AX$16*(J150/100))/I150</f>
        <v>2.8709766429265925E-3</v>
      </c>
      <c r="AC150" s="383">
        <f t="shared" si="47"/>
        <v>0.99712902335707343</v>
      </c>
    </row>
    <row r="151" spans="2:29">
      <c r="B151" s="346" t="s">
        <v>188</v>
      </c>
      <c r="C151" s="355"/>
      <c r="D151" s="369">
        <v>0.37</v>
      </c>
      <c r="E151" s="347">
        <v>0.1</v>
      </c>
      <c r="F151" s="348">
        <v>0.95</v>
      </c>
      <c r="G151" s="347">
        <v>0.11</v>
      </c>
      <c r="H151" s="349">
        <v>40.742394780994772</v>
      </c>
      <c r="I151" s="349">
        <v>242.94102923187569</v>
      </c>
      <c r="J151" s="370">
        <v>8.2765767458945696</v>
      </c>
      <c r="K151" s="375"/>
      <c r="L151" s="330">
        <f t="shared" si="41"/>
        <v>39.848524492438159</v>
      </c>
      <c r="M151" s="316">
        <f>(D151-(Y151*'Table S-1a'!$AV$17)-('Table S-1a'!$AW$17*Z151))/AA151</f>
        <v>0.38502924138249034</v>
      </c>
      <c r="N151" s="316">
        <f>$E151*(M151-'Table S-1a'!$AV$17)/($D151-'Table S-1a'!$AV$17)*(1/AA151)</f>
        <v>0.10453665884363339</v>
      </c>
      <c r="O151" s="331">
        <f t="shared" si="42"/>
        <v>241.95611659911424</v>
      </c>
      <c r="P151" s="316">
        <f>(F151-(AB151*'Table S-1a'!$AX$17))/AC151</f>
        <v>0.95386709381136925</v>
      </c>
      <c r="Q151" s="316">
        <f>$G151*(P151-'Table S-1a'!$AX$17)/($F151-'Table S-1a'!$AX$17)*(1/AC151)</f>
        <v>0.11089736021293765</v>
      </c>
      <c r="R151" s="315">
        <f>(H151/(J151*10000)*1000000)/'Table S-1a'!$AX$16</f>
        <v>41.366506455260982</v>
      </c>
      <c r="S151" s="315">
        <f>(I151/(J151*10000)*1000000)/'Table S-1a'!$AV$16</f>
        <v>271.78555137364197</v>
      </c>
      <c r="T151" s="377">
        <f t="shared" si="43"/>
        <v>6.5701838193076698</v>
      </c>
      <c r="U151" s="373"/>
      <c r="V151" s="330">
        <f t="shared" si="44"/>
        <v>4.9226142681760576</v>
      </c>
      <c r="W151" s="377">
        <f t="shared" si="45"/>
        <v>29.352839548353337</v>
      </c>
      <c r="X151" s="380"/>
      <c r="Y151" s="332">
        <f>('Table S-1a'!AV$16*(J151/100))/H151</f>
        <v>2.1939561809301889E-2</v>
      </c>
      <c r="Z151" s="332">
        <f>('Table S-1a'!AW$16*(K151/100))/H151</f>
        <v>0</v>
      </c>
      <c r="AA151" s="332">
        <f t="shared" si="46"/>
        <v>0.9780604381906981</v>
      </c>
      <c r="AB151" s="332">
        <f>('Table S-1a'!AX$16*(J151/100))/I151</f>
        <v>4.0541222529414797E-3</v>
      </c>
      <c r="AC151" s="383">
        <f t="shared" si="47"/>
        <v>0.99594587774705856</v>
      </c>
    </row>
    <row r="152" spans="2:29">
      <c r="B152" s="346" t="s">
        <v>189</v>
      </c>
      <c r="C152" s="355"/>
      <c r="D152" s="369">
        <v>0.18</v>
      </c>
      <c r="E152" s="347">
        <v>0.08</v>
      </c>
      <c r="F152" s="348">
        <v>0.77</v>
      </c>
      <c r="G152" s="347">
        <v>0.11</v>
      </c>
      <c r="H152" s="349">
        <v>15.425730562432403</v>
      </c>
      <c r="I152" s="349">
        <v>58.531116595825324</v>
      </c>
      <c r="J152" s="370">
        <v>8.173285312730199</v>
      </c>
      <c r="K152" s="375"/>
      <c r="L152" s="330">
        <f t="shared" si="41"/>
        <v>14.54301574865754</v>
      </c>
      <c r="M152" s="316">
        <f>(D152-(Y152*'Table S-1a'!$AV$17)-('Table S-1a'!$AW$17*Z152))/AA152</f>
        <v>0.20913447375253275</v>
      </c>
      <c r="N152" s="316">
        <f>$E152*(M152-'Table S-1a'!$AV$17)/($D152-'Table S-1a'!$AV$17)*(1/AA152)</f>
        <v>9.0006219570579332E-2</v>
      </c>
      <c r="O152" s="331">
        <f t="shared" si="42"/>
        <v>57.558495643610428</v>
      </c>
      <c r="P152" s="316">
        <f>(F152-(AB152*'Table S-1a'!$AX$17))/AC152</f>
        <v>0.78301142645983324</v>
      </c>
      <c r="Q152" s="316">
        <f>$G152*(P152-'Table S-1a'!$AX$17)/($F152-'Table S-1a'!$AX$17)*(1/AC152)</f>
        <v>0.11374895991960349</v>
      </c>
      <c r="R152" s="315">
        <f>(H152/(J152*10000)*1000000)/'Table S-1a'!$AX$16</f>
        <v>15.859961197940754</v>
      </c>
      <c r="S152" s="315">
        <f>(I152/(J152*10000)*1000000)/'Table S-1a'!$AV$16</f>
        <v>66.308071058104858</v>
      </c>
      <c r="T152" s="377">
        <f t="shared" si="43"/>
        <v>4.1808469913983304</v>
      </c>
      <c r="U152" s="373"/>
      <c r="V152" s="330">
        <f t="shared" si="44"/>
        <v>1.8873353825549497</v>
      </c>
      <c r="W152" s="377">
        <f t="shared" si="45"/>
        <v>7.1612716742753264</v>
      </c>
      <c r="X152" s="380"/>
      <c r="Y152" s="332">
        <f>('Table S-1a'!AV$16*(J152/100))/H152</f>
        <v>5.7223533770556854E-2</v>
      </c>
      <c r="Z152" s="332">
        <f>('Table S-1a'!AW$16*(K152/100))/H152</f>
        <v>0</v>
      </c>
      <c r="AA152" s="332">
        <f t="shared" si="46"/>
        <v>0.94277646622944311</v>
      </c>
      <c r="AB152" s="332">
        <f>('Table S-1a'!AX$16*(J152/100))/I152</f>
        <v>1.6617160388911239E-2</v>
      </c>
      <c r="AC152" s="383">
        <f t="shared" si="47"/>
        <v>0.98338283961108874</v>
      </c>
    </row>
    <row r="153" spans="2:29">
      <c r="B153" s="346" t="s">
        <v>190</v>
      </c>
      <c r="C153" s="355"/>
      <c r="D153" s="369">
        <v>0.53</v>
      </c>
      <c r="E153" s="347">
        <v>0.08</v>
      </c>
      <c r="F153" s="348">
        <v>0.71</v>
      </c>
      <c r="G153" s="347">
        <v>0.11</v>
      </c>
      <c r="H153" s="349">
        <v>30.742440518308289</v>
      </c>
      <c r="I153" s="349">
        <v>167.63239795552042</v>
      </c>
      <c r="J153" s="370">
        <v>7.0623508172873963</v>
      </c>
      <c r="K153" s="375"/>
      <c r="L153" s="330">
        <f t="shared" si="41"/>
        <v>29.97970663004125</v>
      </c>
      <c r="M153" s="316">
        <f>(D153-(Y153*'Table S-1a'!$AV$17)-('Table S-1a'!$AW$17*Z153))/AA153</f>
        <v>0.5511165884667889</v>
      </c>
      <c r="N153" s="316">
        <f>$E153*(M153-'Table S-1a'!$AV$17)/($D153-'Table S-1a'!$AV$17)*(1/AA153)</f>
        <v>8.4122449953647302E-2</v>
      </c>
      <c r="O153" s="331">
        <f t="shared" si="42"/>
        <v>166.7919782082632</v>
      </c>
      <c r="P153" s="316">
        <f>(F153-(AB153*'Table S-1a'!$AX$17))/AC153</f>
        <v>0.71357749831234418</v>
      </c>
      <c r="Q153" s="316">
        <f>$G153*(P153-'Table S-1a'!$AX$17)/($F153-'Table S-1a'!$AX$17)*(1/AC153)</f>
        <v>0.11111131337184565</v>
      </c>
      <c r="R153" s="315">
        <f>(H153/(J153*10000)*1000000)/'Table S-1a'!$AX$16</f>
        <v>36.579864548208839</v>
      </c>
      <c r="S153" s="315">
        <f>(I153/(J153*10000)*1000000)/'Table S-1a'!$AV$16</f>
        <v>219.77835328175567</v>
      </c>
      <c r="T153" s="377">
        <f t="shared" si="43"/>
        <v>6.0081784335780783</v>
      </c>
      <c r="U153" s="373"/>
      <c r="V153" s="330">
        <f t="shared" si="44"/>
        <v>4.3530038812368517</v>
      </c>
      <c r="W153" s="377">
        <f t="shared" si="45"/>
        <v>23.736062154429614</v>
      </c>
      <c r="X153" s="380"/>
      <c r="Y153" s="332">
        <f>('Table S-1a'!AV$16*(J153/100))/H153</f>
        <v>2.4810453412532487E-2</v>
      </c>
      <c r="Z153" s="332">
        <f>('Table S-1a'!AW$16*(K153/100))/H153</f>
        <v>0</v>
      </c>
      <c r="AA153" s="332">
        <f t="shared" si="46"/>
        <v>0.97518954658746748</v>
      </c>
      <c r="AB153" s="332">
        <f>('Table S-1a'!AX$16*(J153/100))/I153</f>
        <v>5.0134685031481638E-3</v>
      </c>
      <c r="AC153" s="383">
        <f t="shared" si="47"/>
        <v>0.99498653149685179</v>
      </c>
    </row>
    <row r="154" spans="2:29">
      <c r="B154" s="346" t="s">
        <v>191</v>
      </c>
      <c r="C154" s="355"/>
      <c r="D154" s="369">
        <v>0.44</v>
      </c>
      <c r="E154" s="347">
        <v>0.08</v>
      </c>
      <c r="F154" s="348">
        <v>0.68</v>
      </c>
      <c r="G154" s="347">
        <v>0.11</v>
      </c>
      <c r="H154" s="349">
        <v>26.614025476879345</v>
      </c>
      <c r="I154" s="349">
        <v>100.89037904099685</v>
      </c>
      <c r="J154" s="370">
        <v>7.5977285201741456</v>
      </c>
      <c r="K154" s="375"/>
      <c r="L154" s="330">
        <f t="shared" si="41"/>
        <v>25.793470796700536</v>
      </c>
      <c r="M154" s="316">
        <f>(D154-(Y154*'Table S-1a'!$AV$17)-('Table S-1a'!$AW$17*Z154))/AA154</f>
        <v>0.46354124685732451</v>
      </c>
      <c r="N154" s="316">
        <f>$E154*(M154-'Table S-1a'!$AV$17)/($D154-'Table S-1a'!$AV$17)*(1/AA154)</f>
        <v>8.5170962111386098E-2</v>
      </c>
      <c r="O154" s="331">
        <f t="shared" si="42"/>
        <v>99.986249347096134</v>
      </c>
      <c r="P154" s="316">
        <f>(F154-(AB154*'Table S-1a'!$AX$17))/AC154</f>
        <v>0.68614892743619404</v>
      </c>
      <c r="Q154" s="316">
        <f>$G154*(P154-'Table S-1a'!$AX$17)/($F154-'Table S-1a'!$AX$17)*(1/AC154)</f>
        <v>0.11199835330536836</v>
      </c>
      <c r="R154" s="315">
        <f>(H154/(J154*10000)*1000000)/'Table S-1a'!$AX$16</f>
        <v>29.436070573080482</v>
      </c>
      <c r="S154" s="315">
        <f>(I154/(J154*10000)*1000000)/'Table S-1a'!$AV$16</f>
        <v>122.95387678370409</v>
      </c>
      <c r="T154" s="377">
        <f t="shared" si="43"/>
        <v>4.1769799565620822</v>
      </c>
      <c r="U154" s="373"/>
      <c r="V154" s="330">
        <f t="shared" si="44"/>
        <v>3.5028923981965772</v>
      </c>
      <c r="W154" s="377">
        <f t="shared" si="45"/>
        <v>13.279018692640042</v>
      </c>
      <c r="X154" s="380"/>
      <c r="Y154" s="332">
        <f>('Table S-1a'!AV$16*(J154/100))/H154</f>
        <v>3.0831663586241627E-2</v>
      </c>
      <c r="Z154" s="332">
        <f>('Table S-1a'!AW$16*(K154/100))/H154</f>
        <v>0</v>
      </c>
      <c r="AA154" s="332">
        <f t="shared" si="46"/>
        <v>0.96916833641375832</v>
      </c>
      <c r="AB154" s="332">
        <f>('Table S-1a'!AX$16*(J154/100))/I154</f>
        <v>8.9615055716395896E-3</v>
      </c>
      <c r="AC154" s="383">
        <f t="shared" si="47"/>
        <v>0.99103849442836045</v>
      </c>
    </row>
    <row r="155" spans="2:29">
      <c r="B155" s="346" t="s">
        <v>192</v>
      </c>
      <c r="C155" s="355"/>
      <c r="D155" s="369">
        <v>0.39</v>
      </c>
      <c r="E155" s="347">
        <v>0.08</v>
      </c>
      <c r="F155" s="348">
        <v>0.76</v>
      </c>
      <c r="G155" s="347">
        <v>0.11</v>
      </c>
      <c r="H155" s="349">
        <v>32.022975305694963</v>
      </c>
      <c r="I155" s="349">
        <v>166.92013809704287</v>
      </c>
      <c r="J155" s="370">
        <v>8.4219139623594579</v>
      </c>
      <c r="K155" s="375"/>
      <c r="L155" s="330">
        <f t="shared" si="41"/>
        <v>31.113408597760142</v>
      </c>
      <c r="M155" s="316">
        <f>(D155-(Y155*'Table S-1a'!$AV$17)-('Table S-1a'!$AW$17*Z155))/AA155</f>
        <v>0.41017140058772628</v>
      </c>
      <c r="N155" s="316">
        <f>$E155*(M155-'Table S-1a'!$AV$17)/($D155-'Table S-1a'!$AV$17)*(1/AA155)</f>
        <v>8.4745795960971704E-2</v>
      </c>
      <c r="O155" s="331">
        <f t="shared" si="42"/>
        <v>165.91793033552207</v>
      </c>
      <c r="P155" s="316">
        <f>(F155-(AB155*'Table S-1a'!$AX$17))/AC155</f>
        <v>0.76459069069398056</v>
      </c>
      <c r="Q155" s="316">
        <f>$G155*(P155-'Table S-1a'!$AX$17)/($F155-'Table S-1a'!$AX$17)*(1/AC155)</f>
        <v>0.11133289763252908</v>
      </c>
      <c r="R155" s="315">
        <f>(H155/(J155*10000)*1000000)/'Table S-1a'!$AX$16</f>
        <v>31.952431955927469</v>
      </c>
      <c r="S155" s="315">
        <f>(I155/(J155*10000)*1000000)/'Table S-1a'!$AV$16</f>
        <v>183.51610348188359</v>
      </c>
      <c r="T155" s="377">
        <f t="shared" si="43"/>
        <v>5.7434158293494049</v>
      </c>
      <c r="U155" s="373"/>
      <c r="V155" s="330">
        <f t="shared" si="44"/>
        <v>3.802339402755369</v>
      </c>
      <c r="W155" s="377">
        <f t="shared" si="45"/>
        <v>19.819739176043427</v>
      </c>
      <c r="X155" s="380"/>
      <c r="Y155" s="332">
        <f>('Table S-1a'!AV$16*(J155/100))/H155</f>
        <v>2.840356647850471E-2</v>
      </c>
      <c r="Z155" s="332">
        <f>('Table S-1a'!AW$16*(K155/100))/H155</f>
        <v>0</v>
      </c>
      <c r="AA155" s="332">
        <f t="shared" si="46"/>
        <v>0.97159643352149527</v>
      </c>
      <c r="AB155" s="332">
        <f>('Table S-1a'!AX$16*(J155/100))/I155</f>
        <v>6.0041153389060751E-3</v>
      </c>
      <c r="AC155" s="383">
        <f t="shared" si="47"/>
        <v>0.9939958846610939</v>
      </c>
    </row>
    <row r="156" spans="2:29">
      <c r="B156" s="346" t="s">
        <v>193</v>
      </c>
      <c r="C156" s="355"/>
      <c r="D156" s="369">
        <v>0.41</v>
      </c>
      <c r="E156" s="347">
        <v>0.08</v>
      </c>
      <c r="F156" s="348">
        <v>0.78</v>
      </c>
      <c r="G156" s="347">
        <v>0.11</v>
      </c>
      <c r="H156" s="349">
        <v>35.327356226964682</v>
      </c>
      <c r="I156" s="349">
        <v>236.38258113432434</v>
      </c>
      <c r="J156" s="370">
        <v>7.7506668419782754</v>
      </c>
      <c r="K156" s="375"/>
      <c r="L156" s="330">
        <f t="shared" si="41"/>
        <v>34.490284208031028</v>
      </c>
      <c r="M156" s="316">
        <f>(D156-(Y156*'Table S-1a'!$AV$17)-('Table S-1a'!$AW$17*Z156))/AA156</f>
        <v>0.42723155222085718</v>
      </c>
      <c r="N156" s="316">
        <f>$E156*(M156-'Table S-1a'!$AV$17)/($D156-'Table S-1a'!$AV$17)*(1/AA156)</f>
        <v>8.3930288521413599E-2</v>
      </c>
      <c r="O156" s="331">
        <f t="shared" si="42"/>
        <v>235.46025178012894</v>
      </c>
      <c r="P156" s="316">
        <f>(F156-(AB156*'Table S-1a'!$AX$17))/AC156</f>
        <v>0.78305536450773949</v>
      </c>
      <c r="Q156" s="316">
        <f>$G156*(P156-'Table S-1a'!$AX$17)/($F156-'Table S-1a'!$AX$17)*(1/AC156)</f>
        <v>0.11086345730979348</v>
      </c>
      <c r="R156" s="315">
        <f>(H156/(J156*10000)*1000000)/'Table S-1a'!$AX$16</f>
        <v>38.302322338837584</v>
      </c>
      <c r="S156" s="315">
        <f>(I156/(J156*10000)*1000000)/'Table S-1a'!$AV$16</f>
        <v>282.39216672832066</v>
      </c>
      <c r="T156" s="377">
        <f t="shared" si="43"/>
        <v>7.3727165739499343</v>
      </c>
      <c r="U156" s="373"/>
      <c r="V156" s="330">
        <f t="shared" si="44"/>
        <v>4.5579763583216728</v>
      </c>
      <c r="W156" s="377">
        <f t="shared" si="45"/>
        <v>30.498354006658634</v>
      </c>
      <c r="X156" s="380"/>
      <c r="Y156" s="332">
        <f>('Table S-1a'!AV$16*(J156/100))/H156</f>
        <v>2.369472579707884E-2</v>
      </c>
      <c r="Z156" s="332">
        <f>('Table S-1a'!AW$16*(K156/100))/H156</f>
        <v>0</v>
      </c>
      <c r="AA156" s="332">
        <f t="shared" si="46"/>
        <v>0.97630527420292113</v>
      </c>
      <c r="AB156" s="332">
        <f>('Table S-1a'!AX$16*(J156/100))/I156</f>
        <v>3.9018499153763843E-3</v>
      </c>
      <c r="AC156" s="383">
        <f t="shared" si="47"/>
        <v>0.99609815008462366</v>
      </c>
    </row>
    <row r="157" spans="2:29">
      <c r="B157" s="346" t="s">
        <v>194</v>
      </c>
      <c r="C157" s="355"/>
      <c r="D157" s="369">
        <v>0.42</v>
      </c>
      <c r="E157" s="347">
        <v>0.08</v>
      </c>
      <c r="F157" s="348">
        <v>0.69</v>
      </c>
      <c r="G157" s="347">
        <v>0.11</v>
      </c>
      <c r="H157" s="349">
        <v>26.104169799521674</v>
      </c>
      <c r="I157" s="349">
        <v>118.80005440778005</v>
      </c>
      <c r="J157" s="370">
        <v>9.1068222464735165</v>
      </c>
      <c r="K157" s="375"/>
      <c r="L157" s="330">
        <f t="shared" si="41"/>
        <v>25.120632996902533</v>
      </c>
      <c r="M157" s="316">
        <f>(D157-(Y157*'Table S-1a'!$AV$17)-('Table S-1a'!$AW$17*Z157))/AA157</f>
        <v>0.44818983494456915</v>
      </c>
      <c r="N157" s="316">
        <f>$E157*(M157-'Table S-1a'!$AV$17)/($D157-'Table S-1a'!$AV$17)*(1/AA157)</f>
        <v>8.6387041529997197E-2</v>
      </c>
      <c r="O157" s="331">
        <f t="shared" si="42"/>
        <v>117.7163425604497</v>
      </c>
      <c r="P157" s="316">
        <f>(F157-(AB157*'Table S-1a'!$AX$17))/AC157</f>
        <v>0.69635222908215944</v>
      </c>
      <c r="Q157" s="316">
        <f>$G157*(P157-'Table S-1a'!$AX$17)/($F157-'Table S-1a'!$AX$17)*(1/AC157)</f>
        <v>0.1120346712124473</v>
      </c>
      <c r="R157" s="315">
        <f>(H157/(J157*10000)*1000000)/'Table S-1a'!$AX$16</f>
        <v>24.087740540834307</v>
      </c>
      <c r="S157" s="315">
        <f>(I157/(J157*10000)*1000000)/'Table S-1a'!$AV$16</f>
        <v>120.78862132196554</v>
      </c>
      <c r="T157" s="377">
        <f t="shared" si="43"/>
        <v>5.0145268343953147</v>
      </c>
      <c r="U157" s="373"/>
      <c r="V157" s="330">
        <f t="shared" si="44"/>
        <v>2.8664411243592824</v>
      </c>
      <c r="W157" s="377">
        <f t="shared" si="45"/>
        <v>13.045171102772279</v>
      </c>
      <c r="X157" s="380"/>
      <c r="Y157" s="332">
        <f>('Table S-1a'!AV$16*(J157/100))/H157</f>
        <v>3.7677382968799182E-2</v>
      </c>
      <c r="Z157" s="332">
        <f>('Table S-1a'!AW$16*(K157/100))/H157</f>
        <v>0</v>
      </c>
      <c r="AA157" s="332">
        <f t="shared" si="46"/>
        <v>0.96232261703120081</v>
      </c>
      <c r="AB157" s="332">
        <f>('Table S-1a'!AX$16*(J157/100))/I157</f>
        <v>9.122149419313547E-3</v>
      </c>
      <c r="AC157" s="383">
        <f t="shared" si="47"/>
        <v>0.99087785058068645</v>
      </c>
    </row>
    <row r="158" spans="2:29">
      <c r="B158" s="346" t="s">
        <v>195</v>
      </c>
      <c r="C158" s="355"/>
      <c r="D158" s="369">
        <v>0.32</v>
      </c>
      <c r="E158" s="347">
        <v>0.08</v>
      </c>
      <c r="F158" s="348">
        <v>0.72</v>
      </c>
      <c r="G158" s="347">
        <v>0.11</v>
      </c>
      <c r="H158" s="349">
        <v>17.398427397937517</v>
      </c>
      <c r="I158" s="349">
        <v>70.876382683700541</v>
      </c>
      <c r="J158" s="370">
        <v>9.3479384393894698</v>
      </c>
      <c r="K158" s="375"/>
      <c r="L158" s="330">
        <f t="shared" si="41"/>
        <v>16.388850046483455</v>
      </c>
      <c r="M158" s="316">
        <f>(D158-(Y158*'Table S-1a'!$AV$17)-('Table S-1a'!$AW$17*Z158))/AA158</f>
        <v>0.35819291506885353</v>
      </c>
      <c r="N158" s="316">
        <f>$E158*(M158-'Table S-1a'!$AV$17)/($D158-'Table S-1a'!$AV$17)*(1/AA158)</f>
        <v>9.0159815493618109E-2</v>
      </c>
      <c r="O158" s="331">
        <f t="shared" si="42"/>
        <v>69.763978009413194</v>
      </c>
      <c r="P158" s="316">
        <f>(F158-(AB158*'Table S-1a'!$AX$17))/AC158</f>
        <v>0.73148058623289547</v>
      </c>
      <c r="Q158" s="316">
        <f>$G158*(P158-'Table S-1a'!$AX$17)/($F158-'Table S-1a'!$AX$17)*(1/AC158)</f>
        <v>0.11353592454459538</v>
      </c>
      <c r="R158" s="315">
        <f>(H158/(J158*10000)*1000000)/'Table S-1a'!$AX$16</f>
        <v>15.640376025104068</v>
      </c>
      <c r="S158" s="315">
        <f>(I158/(J158*10000)*1000000)/'Table S-1a'!$AV$16</f>
        <v>70.204014166541569</v>
      </c>
      <c r="T158" s="377">
        <f t="shared" si="43"/>
        <v>4.4886397906200237</v>
      </c>
      <c r="U158" s="373"/>
      <c r="V158" s="330">
        <f t="shared" si="44"/>
        <v>1.8612047469873838</v>
      </c>
      <c r="W158" s="377">
        <f t="shared" si="45"/>
        <v>7.5820335299864903</v>
      </c>
      <c r="X158" s="380"/>
      <c r="Y158" s="332">
        <f>('Table S-1a'!AV$16*(J158/100))/H158</f>
        <v>5.8026931306087021E-2</v>
      </c>
      <c r="Z158" s="332">
        <f>('Table S-1a'!AW$16*(K158/100))/H158</f>
        <v>0</v>
      </c>
      <c r="AA158" s="332">
        <f t="shared" si="46"/>
        <v>0.94197306869391295</v>
      </c>
      <c r="AB158" s="332">
        <f>('Table S-1a'!AX$16*(J158/100))/I158</f>
        <v>1.5694997856361633E-2</v>
      </c>
      <c r="AC158" s="383">
        <f t="shared" si="47"/>
        <v>0.98430500214363836</v>
      </c>
    </row>
    <row r="159" spans="2:29">
      <c r="B159" s="346" t="s">
        <v>196</v>
      </c>
      <c r="C159" s="355"/>
      <c r="D159" s="369">
        <v>0.3</v>
      </c>
      <c r="E159" s="347">
        <v>0.08</v>
      </c>
      <c r="F159" s="348">
        <v>0.69</v>
      </c>
      <c r="G159" s="347">
        <v>0.11</v>
      </c>
      <c r="H159" s="349">
        <v>13.315479957261658</v>
      </c>
      <c r="I159" s="349">
        <v>61.059836222179534</v>
      </c>
      <c r="J159" s="370">
        <v>9.782420401441021</v>
      </c>
      <c r="K159" s="375"/>
      <c r="L159" s="330">
        <f t="shared" si="41"/>
        <v>12.258978553906028</v>
      </c>
      <c r="M159" s="316">
        <f>(D159-(Y159*'Table S-1a'!$AV$17)-('Table S-1a'!$AW$17*Z159))/AA159</f>
        <v>0.35170910767368957</v>
      </c>
      <c r="N159" s="316">
        <f>$E159*(M159-'Table S-1a'!$AV$17)/($D159-'Table S-1a'!$AV$17)*(1/AA159)</f>
        <v>9.4383280227741492E-2</v>
      </c>
      <c r="O159" s="331">
        <f t="shared" si="42"/>
        <v>59.895728194408058</v>
      </c>
      <c r="P159" s="316">
        <f>(F159-(AB159*'Table S-1a'!$AX$17))/AC159</f>
        <v>0.70341054802030623</v>
      </c>
      <c r="Q159" s="316">
        <f>$G159*(P159-'Table S-1a'!$AX$17)/($F159-'Table S-1a'!$AX$17)*(1/AC159)</f>
        <v>0.11431737848621094</v>
      </c>
      <c r="R159" s="315">
        <f>(H159/(J159*10000)*1000000)/'Table S-1a'!$AX$16</f>
        <v>11.438354207342975</v>
      </c>
      <c r="S159" s="315">
        <f>(I159/(J159*10000)*1000000)/'Table S-1a'!$AV$16</f>
        <v>57.79437303939492</v>
      </c>
      <c r="T159" s="377">
        <f t="shared" si="43"/>
        <v>5.0526825793078869</v>
      </c>
      <c r="U159" s="373"/>
      <c r="V159" s="330">
        <f t="shared" si="44"/>
        <v>1.3611641506738141</v>
      </c>
      <c r="W159" s="377">
        <f t="shared" si="45"/>
        <v>6.2417922882546515</v>
      </c>
      <c r="X159" s="380"/>
      <c r="Y159" s="332">
        <f>('Table S-1a'!AV$16*(J159/100))/H159</f>
        <v>7.9343846917020996E-2</v>
      </c>
      <c r="Z159" s="332">
        <f>('Table S-1a'!AW$16*(K159/100))/H159</f>
        <v>0</v>
      </c>
      <c r="AA159" s="332">
        <f t="shared" si="46"/>
        <v>0.92065615308297899</v>
      </c>
      <c r="AB159" s="332">
        <f>('Table S-1a'!AX$16*(J159/100))/I159</f>
        <v>1.9065036852303704E-2</v>
      </c>
      <c r="AC159" s="383">
        <f t="shared" si="47"/>
        <v>0.98093496314769635</v>
      </c>
    </row>
    <row r="160" spans="2:29">
      <c r="B160" s="346" t="s">
        <v>197</v>
      </c>
      <c r="C160" s="355"/>
      <c r="D160" s="369">
        <v>0.34</v>
      </c>
      <c r="E160" s="347">
        <v>0.14000000000000001</v>
      </c>
      <c r="F160" s="348">
        <v>0.55000000000000004</v>
      </c>
      <c r="G160" s="347">
        <v>0.11</v>
      </c>
      <c r="H160" s="349">
        <v>18.561046640104351</v>
      </c>
      <c r="I160" s="349">
        <v>102.15792437061992</v>
      </c>
      <c r="J160" s="370">
        <v>8.6409960827652394</v>
      </c>
      <c r="K160" s="375"/>
      <c r="L160" s="330">
        <f t="shared" si="41"/>
        <v>17.627819063165703</v>
      </c>
      <c r="M160" s="316">
        <f>(D160-(Y160*'Table S-1a'!$AV$17)-('Table S-1a'!$AW$17*Z160))/AA160</f>
        <v>0.3738819934048877</v>
      </c>
      <c r="N160" s="316">
        <f>$E160*(M160-'Table S-1a'!$AV$17)/($D160-'Table S-1a'!$AV$17)*(1/AA160)</f>
        <v>0.15521575133044022</v>
      </c>
      <c r="O160" s="331">
        <f t="shared" si="42"/>
        <v>101.12964583677086</v>
      </c>
      <c r="P160" s="316">
        <f>(F160-(AB160*'Table S-1a'!$AX$17))/AC160</f>
        <v>0.55559235809576379</v>
      </c>
      <c r="Q160" s="316">
        <f>$G160*(P160-'Table S-1a'!$AX$17)/($F160-'Table S-1a'!$AX$17)*(1/AC160)</f>
        <v>0.11224831577251322</v>
      </c>
      <c r="R160" s="315">
        <f>(H160/(J160*10000)*1000000)/'Table S-1a'!$AX$16</f>
        <v>18.050602078238896</v>
      </c>
      <c r="S160" s="315">
        <f>(I160/(J160*10000)*1000000)/'Table S-1a'!$AV$16</f>
        <v>109.46732275715442</v>
      </c>
      <c r="T160" s="377">
        <f t="shared" si="43"/>
        <v>6.064469333636465</v>
      </c>
      <c r="U160" s="373"/>
      <c r="V160" s="330">
        <f t="shared" si="44"/>
        <v>2.1480216473104288</v>
      </c>
      <c r="W160" s="377">
        <f t="shared" si="45"/>
        <v>11.822470857772679</v>
      </c>
      <c r="X160" s="380"/>
      <c r="Y160" s="332">
        <f>('Table S-1a'!AV$16*(J160/100))/H160</f>
        <v>5.0278822904428588E-2</v>
      </c>
      <c r="Z160" s="332">
        <f>('Table S-1a'!AW$16*(K160/100))/H160</f>
        <v>0</v>
      </c>
      <c r="AA160" s="332">
        <f t="shared" si="46"/>
        <v>0.94972117709557136</v>
      </c>
      <c r="AB160" s="332">
        <f>('Table S-1a'!AX$16*(J160/100))/I160</f>
        <v>1.0065577782478822E-2</v>
      </c>
      <c r="AC160" s="383">
        <f t="shared" si="47"/>
        <v>0.98993442221752115</v>
      </c>
    </row>
    <row r="161" spans="2:29">
      <c r="B161" s="346" t="s">
        <v>198</v>
      </c>
      <c r="C161" s="355"/>
      <c r="D161" s="369">
        <v>0.35</v>
      </c>
      <c r="E161" s="347">
        <v>0.1</v>
      </c>
      <c r="F161" s="348">
        <v>0.88</v>
      </c>
      <c r="G161" s="347">
        <v>0.11</v>
      </c>
      <c r="H161" s="349">
        <v>27.616455578270799</v>
      </c>
      <c r="I161" s="349">
        <v>135.24474328515467</v>
      </c>
      <c r="J161" s="370">
        <v>7.4488676907829348</v>
      </c>
      <c r="K161" s="375"/>
      <c r="L161" s="330">
        <f t="shared" si="41"/>
        <v>26.81197786766624</v>
      </c>
      <c r="M161" s="316">
        <f>(D161-(Y161*'Table S-1a'!$AV$17)-('Table S-1a'!$AW$17*Z161))/AA161</f>
        <v>0.36950286974254004</v>
      </c>
      <c r="N161" s="316">
        <f>$E161*(M161-'Table S-1a'!$AV$17)/($D161-'Table S-1a'!$AV$17)*(1/AA161)</f>
        <v>0.10609090948958501</v>
      </c>
      <c r="O161" s="331">
        <f t="shared" si="42"/>
        <v>134.35832802995151</v>
      </c>
      <c r="P161" s="316">
        <f>(F161-(AB161*'Table S-1a'!$AX$17))/AC161</f>
        <v>0.88580570952330473</v>
      </c>
      <c r="Q161" s="316">
        <f>$G161*(P161-'Table S-1a'!$AX$17)/($F161-'Table S-1a'!$AX$17)*(1/AC161)</f>
        <v>0.11145621520228484</v>
      </c>
      <c r="R161" s="315">
        <f>(H161/(J161*10000)*1000000)/'Table S-1a'!$AX$16</f>
        <v>31.155212431380164</v>
      </c>
      <c r="S161" s="315">
        <f>(I161/(J161*10000)*1000000)/'Table S-1a'!$AV$16</f>
        <v>168.11496639666944</v>
      </c>
      <c r="T161" s="377">
        <f t="shared" si="43"/>
        <v>5.396046223948729</v>
      </c>
      <c r="U161" s="373"/>
      <c r="V161" s="330">
        <f t="shared" si="44"/>
        <v>3.7074702793342396</v>
      </c>
      <c r="W161" s="377">
        <f t="shared" si="45"/>
        <v>18.156416370840301</v>
      </c>
      <c r="X161" s="380"/>
      <c r="Y161" s="332">
        <f>('Table S-1a'!AV$16*(J161/100))/H161</f>
        <v>2.9130375124515863E-2</v>
      </c>
      <c r="Z161" s="332">
        <f>('Table S-1a'!AW$16*(K161/100))/H161</f>
        <v>0</v>
      </c>
      <c r="AA161" s="332">
        <f t="shared" si="46"/>
        <v>0.97086962487548412</v>
      </c>
      <c r="AB161" s="332">
        <f>('Table S-1a'!AX$16*(J161/100))/I161</f>
        <v>6.5541568098822205E-3</v>
      </c>
      <c r="AC161" s="383">
        <f t="shared" si="47"/>
        <v>0.99344584319011775</v>
      </c>
    </row>
    <row r="162" spans="2:29">
      <c r="B162" s="346" t="s">
        <v>199</v>
      </c>
      <c r="C162" s="355"/>
      <c r="D162" s="369">
        <v>0.34</v>
      </c>
      <c r="E162" s="347">
        <v>0.08</v>
      </c>
      <c r="F162" s="348">
        <v>0.77</v>
      </c>
      <c r="G162" s="347">
        <v>0.11</v>
      </c>
      <c r="H162" s="349">
        <v>24.616606103423869</v>
      </c>
      <c r="I162" s="349">
        <v>111.32455381963773</v>
      </c>
      <c r="J162" s="370">
        <v>7.300261731661168</v>
      </c>
      <c r="K162" s="375"/>
      <c r="L162" s="330">
        <f t="shared" si="41"/>
        <v>23.828177836404464</v>
      </c>
      <c r="M162" s="316">
        <f>(D162-(Y162*'Table S-1a'!$AV$17)-('Table S-1a'!$AW$17*Z162))/AA162</f>
        <v>0.3611763607925364</v>
      </c>
      <c r="N162" s="316">
        <f>$E162*(M162-'Table S-1a'!$AV$17)/($D162-'Table S-1a'!$AV$17)*(1/AA162)</f>
        <v>8.5381675795090289E-2</v>
      </c>
      <c r="O162" s="331">
        <f t="shared" si="42"/>
        <v>110.45582267357004</v>
      </c>
      <c r="P162" s="316">
        <f>(F162-(AB162*'Table S-1a'!$AX$17))/AC162</f>
        <v>0.77605602281781905</v>
      </c>
      <c r="Q162" s="316">
        <f>$G162*(P162-'Table S-1a'!$AX$17)/($F162-'Table S-1a'!$AX$17)*(1/AC162)</f>
        <v>0.11173709657733048</v>
      </c>
      <c r="R162" s="315">
        <f>(H162/(J162*10000)*1000000)/'Table S-1a'!$AX$16</f>
        <v>28.336276666090779</v>
      </c>
      <c r="S162" s="315">
        <f>(I162/(J162*10000)*1000000)/'Table S-1a'!$AV$16</f>
        <v>141.19807530555931</v>
      </c>
      <c r="T162" s="377">
        <f t="shared" si="43"/>
        <v>4.9829438415431291</v>
      </c>
      <c r="U162" s="373"/>
      <c r="V162" s="330">
        <f t="shared" si="44"/>
        <v>3.3720169232648023</v>
      </c>
      <c r="W162" s="377">
        <f t="shared" si="45"/>
        <v>15.249392133000406</v>
      </c>
      <c r="X162" s="380"/>
      <c r="Y162" s="332">
        <f>('Table S-1a'!AV$16*(J162/100))/H162</f>
        <v>3.2028309008435792E-2</v>
      </c>
      <c r="Z162" s="332">
        <f>('Table S-1a'!AW$16*(K162/100))/H162</f>
        <v>0</v>
      </c>
      <c r="AA162" s="332">
        <f t="shared" si="46"/>
        <v>0.96797169099156422</v>
      </c>
      <c r="AB162" s="332">
        <f>('Table S-1a'!AX$16*(J162/100))/I162</f>
        <v>7.8035897406348665E-3</v>
      </c>
      <c r="AC162" s="383">
        <f t="shared" si="47"/>
        <v>0.99219641025936511</v>
      </c>
    </row>
    <row r="163" spans="2:29">
      <c r="B163" s="350" t="s">
        <v>200</v>
      </c>
      <c r="C163" s="355"/>
      <c r="D163" s="369">
        <v>0.32</v>
      </c>
      <c r="E163" s="347">
        <v>0.08</v>
      </c>
      <c r="F163" s="348">
        <v>0.79</v>
      </c>
      <c r="G163" s="347">
        <v>0.11</v>
      </c>
      <c r="H163" s="349">
        <v>31.144929405156798</v>
      </c>
      <c r="I163" s="349">
        <v>123.9898373648914</v>
      </c>
      <c r="J163" s="371">
        <v>7.3</v>
      </c>
      <c r="K163" s="375"/>
      <c r="L163" s="330">
        <f t="shared" si="41"/>
        <v>30.356529405156799</v>
      </c>
      <c r="M163" s="316">
        <f>(D163-(Y163*'Table S-1a'!$AV$17)-('Table S-1a'!$AW$17*Z163))/AA163</f>
        <v>0.33610223597948469</v>
      </c>
      <c r="N163" s="316">
        <f>$E163*(M163-'Table S-1a'!$AV$17)/($D163-'Table S-1a'!$AV$17)*(1/AA163)</f>
        <v>8.420937661146724E-2</v>
      </c>
      <c r="O163" s="331">
        <f t="shared" si="42"/>
        <v>123.12113736489141</v>
      </c>
      <c r="P163" s="316">
        <f>(F163-(AB163*'Table S-1a'!$AX$17))/AC163</f>
        <v>0.79557396572747785</v>
      </c>
      <c r="Q163" s="316">
        <f>$G163*(P163-'Table S-1a'!$AX$17)/($F163-'Table S-1a'!$AX$17)*(1/AC163)</f>
        <v>0.11155771966634845</v>
      </c>
      <c r="R163" s="315">
        <f>(H163/(J163*10000)*1000000)/'Table S-1a'!$AX$16</f>
        <v>35.852341896116954</v>
      </c>
      <c r="S163" s="315">
        <f>(I163/(J163*10000)*1000000)/'Table S-1a'!$AV$16</f>
        <v>157.26767803766029</v>
      </c>
      <c r="T163" s="377">
        <f t="shared" si="43"/>
        <v>4.3865384998655674</v>
      </c>
      <c r="U163" s="373"/>
      <c r="V163" s="330">
        <f t="shared" si="44"/>
        <v>4.2664286856379174</v>
      </c>
      <c r="W163" s="377">
        <f t="shared" si="45"/>
        <v>16.984909228067316</v>
      </c>
      <c r="X163" s="380"/>
      <c r="Y163" s="332">
        <f>('Table S-1a'!AV$16*(J163/100))/H163</f>
        <v>2.5313911929094348E-2</v>
      </c>
      <c r="Z163" s="332">
        <f>('Table S-1a'!AW$16*(K163/100))/H163</f>
        <v>0</v>
      </c>
      <c r="AA163" s="332">
        <f t="shared" si="46"/>
        <v>0.97468608807090562</v>
      </c>
      <c r="AB163" s="332">
        <f>('Table S-1a'!AX$16*(J163/100))/I163</f>
        <v>7.0062193681526552E-3</v>
      </c>
      <c r="AC163" s="383">
        <f t="shared" si="47"/>
        <v>0.9929937806318474</v>
      </c>
    </row>
    <row r="164" spans="2:29">
      <c r="B164" s="346" t="s">
        <v>201</v>
      </c>
      <c r="C164" s="355"/>
      <c r="D164" s="369">
        <v>0.2</v>
      </c>
      <c r="E164" s="347">
        <v>0.11</v>
      </c>
      <c r="F164" s="348">
        <v>0.87</v>
      </c>
      <c r="G164" s="347">
        <v>0.11</v>
      </c>
      <c r="H164" s="349">
        <v>25.66288837221245</v>
      </c>
      <c r="I164" s="349">
        <v>103.0971229233114</v>
      </c>
      <c r="J164" s="370">
        <v>7.4838018894742993</v>
      </c>
      <c r="K164" s="375"/>
      <c r="L164" s="330">
        <f t="shared" si="41"/>
        <v>24.854637768149225</v>
      </c>
      <c r="M164" s="316">
        <f>(D164-(Y164*'Table S-1a'!$AV$17)-('Table S-1a'!$AW$17*Z164))/AA164</f>
        <v>0.21625955307823844</v>
      </c>
      <c r="N164" s="316">
        <f>$E164*(M164-'Table S-1a'!$AV$17)/($D164-'Table S-1a'!$AV$17)*(1/AA164)</f>
        <v>0.1172705275035987</v>
      </c>
      <c r="O164" s="331">
        <f t="shared" si="42"/>
        <v>102.20655049846397</v>
      </c>
      <c r="P164" s="316">
        <f>(F164-(AB164*'Table S-1a'!$AX$17))/AC164</f>
        <v>0.87758070794717713</v>
      </c>
      <c r="Q164" s="316">
        <f>$G164*(P164-'Table S-1a'!$AX$17)/($F164-'Table S-1a'!$AX$17)*(1/AC164)</f>
        <v>0.11192531230772566</v>
      </c>
      <c r="R164" s="315">
        <f>(H164/(J164*10000)*1000000)/'Table S-1a'!$AX$16</f>
        <v>28.816172223846472</v>
      </c>
      <c r="S164" s="315">
        <f>(I164/(J164*10000)*1000000)/'Table S-1a'!$AV$16</f>
        <v>127.55588725207654</v>
      </c>
      <c r="T164" s="377">
        <f t="shared" ref="T164:T165" si="48">S164/R164</f>
        <v>4.426538204353152</v>
      </c>
      <c r="U164" s="373"/>
      <c r="V164" s="330">
        <f t="shared" si="44"/>
        <v>3.4291244946377306</v>
      </c>
      <c r="W164" s="377">
        <f t="shared" si="45"/>
        <v>13.776035823224268</v>
      </c>
      <c r="X164" s="380"/>
      <c r="Y164" s="332">
        <f>('Table S-1a'!AV$16*(J164/100))/H164</f>
        <v>3.1494919525052019E-2</v>
      </c>
      <c r="Z164" s="332">
        <f>('Table S-1a'!AW$16*(K164/100))/H164</f>
        <v>0</v>
      </c>
      <c r="AA164" s="332">
        <f t="shared" ref="AA164:AA165" si="49">1-(Y164+Z164)</f>
        <v>0.96850508047494799</v>
      </c>
      <c r="AB164" s="332">
        <f>('Table S-1a'!AX$16*(J164/100))/I164</f>
        <v>8.6381889192959568E-3</v>
      </c>
      <c r="AC164" s="383">
        <f t="shared" ref="AC164:AC165" si="50">1-(AB164)</f>
        <v>0.99136181108070409</v>
      </c>
    </row>
    <row r="165" spans="2:29">
      <c r="B165" s="346" t="s">
        <v>202</v>
      </c>
      <c r="C165" s="355"/>
      <c r="D165" s="369">
        <v>0.12</v>
      </c>
      <c r="E165" s="347">
        <v>0.08</v>
      </c>
      <c r="F165" s="348">
        <v>1.32</v>
      </c>
      <c r="G165" s="347">
        <v>0.11</v>
      </c>
      <c r="H165" s="349">
        <v>36.792203926374768</v>
      </c>
      <c r="I165" s="349">
        <v>158.34603492350936</v>
      </c>
      <c r="J165" s="370">
        <v>8.2614709754466222</v>
      </c>
      <c r="K165" s="375"/>
      <c r="L165" s="330">
        <f t="shared" si="41"/>
        <v>35.899965061026535</v>
      </c>
      <c r="M165" s="316">
        <f>(D165-(Y165*'Table S-1a'!$AV$17)-('Table S-1a'!$AW$17*Z165))/AA165</f>
        <v>0.13043845928009221</v>
      </c>
      <c r="N165" s="316">
        <f>$E165*(M165-'Table S-1a'!$AV$17)/($D165-'Table S-1a'!$AV$17)*(1/AA165)</f>
        <v>8.4025971531709556E-2</v>
      </c>
      <c r="O165" s="331">
        <f t="shared" si="42"/>
        <v>157.36291987743121</v>
      </c>
      <c r="P165" s="316">
        <f>(F165-(AB165*'Table S-1a'!$AX$17))/AC165</f>
        <v>1.3282466178298797</v>
      </c>
      <c r="Q165" s="316">
        <f>$G165*(P165-'Table S-1a'!$AX$17)/($F165-'Table S-1a'!$AX$17)*(1/AC165)</f>
        <v>0.11137872965760824</v>
      </c>
      <c r="R165" s="315">
        <f>(H165/(J165*10000)*1000000)/'Table S-1a'!$AX$16</f>
        <v>37.42410827008149</v>
      </c>
      <c r="S165" s="315">
        <f>(I165/(J165*10000)*1000000)/'Table S-1a'!$AV$16</f>
        <v>177.47045222212765</v>
      </c>
      <c r="T165" s="377">
        <f t="shared" si="48"/>
        <v>4.7421424430840879</v>
      </c>
      <c r="U165" s="373"/>
      <c r="V165" s="330">
        <f t="shared" si="44"/>
        <v>4.4534688841396974</v>
      </c>
      <c r="W165" s="377">
        <f t="shared" si="45"/>
        <v>19.166808839989788</v>
      </c>
      <c r="X165" s="380"/>
      <c r="Y165" s="332">
        <f>('Table S-1a'!AV$16*(J165/100))/H165</f>
        <v>2.4250758860048259E-2</v>
      </c>
      <c r="Z165" s="332">
        <f>('Table S-1a'!AW$16*(K165/100))/H165</f>
        <v>0</v>
      </c>
      <c r="AA165" s="332">
        <f t="shared" si="49"/>
        <v>0.97574924113995176</v>
      </c>
      <c r="AB165" s="332">
        <f>('Table S-1a'!AX$16*(J165/100))/I165</f>
        <v>6.208649598034151E-3</v>
      </c>
      <c r="AC165" s="383">
        <f t="shared" si="50"/>
        <v>0.99379135040196587</v>
      </c>
    </row>
    <row r="166" spans="2:29">
      <c r="B166" s="346" t="s">
        <v>203</v>
      </c>
      <c r="C166" s="355"/>
      <c r="D166" s="369">
        <v>0.11</v>
      </c>
      <c r="E166" s="347">
        <v>0.08</v>
      </c>
      <c r="F166" s="348">
        <v>1.27</v>
      </c>
      <c r="G166" s="347">
        <v>0.11</v>
      </c>
      <c r="H166" s="349">
        <v>26.709720887497536</v>
      </c>
      <c r="I166" s="349">
        <v>108.23453505552021</v>
      </c>
      <c r="J166" s="370">
        <v>8.0995830115954739</v>
      </c>
      <c r="K166" s="375"/>
      <c r="L166" s="330">
        <f t="shared" si="41"/>
        <v>25.834965922245225</v>
      </c>
      <c r="M166" s="316">
        <f>(D166-(Y166*'Table S-1a'!$AV$17)-('Table S-1a'!$AW$17*Z166))/AA166</f>
        <v>0.12388233051411274</v>
      </c>
      <c r="N166" s="316">
        <f>$E166*(M166-'Table S-1a'!$AV$17)/($D166-'Table S-1a'!$AV$17)*(1/AA166)</f>
        <v>8.5509211241915781E-2</v>
      </c>
      <c r="O166" s="331">
        <f t="shared" si="42"/>
        <v>107.27068467714035</v>
      </c>
      <c r="P166" s="316">
        <f>(F166-(AB166*'Table S-1a'!$AX$17))/AC166</f>
        <v>1.2814112255759964</v>
      </c>
      <c r="Q166" s="316">
        <f>$G166*(P166-'Table S-1a'!$AX$17)/($F166-'Table S-1a'!$AX$17)*(1/AC166)</f>
        <v>0.11198562849125146</v>
      </c>
      <c r="R166" s="315">
        <f>(H166/(J166*10000)*1000000)/'Table S-1a'!$AX$16</f>
        <v>27.711480419184952</v>
      </c>
      <c r="S166" s="315">
        <f>(I166/(J166*10000)*1000000)/'Table S-1a'!$AV$16</f>
        <v>123.73126115871936</v>
      </c>
      <c r="T166" s="377">
        <f t="shared" ref="T166:T174" si="51">S166/R166</f>
        <v>4.4649819961642647</v>
      </c>
      <c r="U166" s="373"/>
      <c r="V166" s="330">
        <f t="shared" si="44"/>
        <v>3.2976661698830094</v>
      </c>
      <c r="W166" s="377">
        <f t="shared" si="45"/>
        <v>13.362976205141694</v>
      </c>
      <c r="X166" s="380"/>
      <c r="Y166" s="332">
        <f>('Table S-1a'!AV$16*(J166/100))/H166</f>
        <v>3.2750434530439902E-2</v>
      </c>
      <c r="Z166" s="332">
        <f>('Table S-1a'!AW$16*(K166/100))/H166</f>
        <v>0</v>
      </c>
      <c r="AA166" s="332">
        <f t="shared" ref="AA166:AA174" si="52">1-(Y166+Z166)</f>
        <v>0.96724956546956009</v>
      </c>
      <c r="AB166" s="332">
        <f>('Table S-1a'!AX$16*(J166/100))/I166</f>
        <v>8.9052018183054301E-3</v>
      </c>
      <c r="AC166" s="383">
        <f t="shared" ref="AC166:AC174" si="53">1-(AB166)</f>
        <v>0.99109479818169455</v>
      </c>
    </row>
    <row r="167" spans="2:29">
      <c r="B167" s="346" t="s">
        <v>204</v>
      </c>
      <c r="C167" s="355"/>
      <c r="D167" s="369">
        <v>0.2</v>
      </c>
      <c r="E167" s="347">
        <v>0.08</v>
      </c>
      <c r="F167" s="348">
        <v>1.07</v>
      </c>
      <c r="G167" s="347">
        <v>0.11</v>
      </c>
      <c r="H167" s="349">
        <v>24.893353182213055</v>
      </c>
      <c r="I167" s="349">
        <v>92.508741562915802</v>
      </c>
      <c r="J167" s="370">
        <v>8.1104881273028653</v>
      </c>
      <c r="K167" s="375"/>
      <c r="L167" s="330">
        <f t="shared" si="41"/>
        <v>24.017420464464344</v>
      </c>
      <c r="M167" s="316">
        <f>(D167-(Y167*'Table S-1a'!$AV$17)-('Table S-1a'!$AW$17*Z167))/AA167</f>
        <v>0.21823536209987082</v>
      </c>
      <c r="N167" s="316">
        <f>$E167*(M167-'Table S-1a'!$AV$17)/($D167-'Table S-1a'!$AV$17)*(1/AA167)</f>
        <v>8.5941724969850961E-2</v>
      </c>
      <c r="O167" s="331">
        <f t="shared" si="42"/>
        <v>91.54359347576677</v>
      </c>
      <c r="P167" s="316">
        <f>(F167-(AB167*'Table S-1a'!$AX$17))/AC167</f>
        <v>1.0812810565331681</v>
      </c>
      <c r="Q167" s="316">
        <f>$G167*(P167-'Table S-1a'!$AX$17)/($F167-'Table S-1a'!$AX$17)*(1/AC167)</f>
        <v>0.11233169670182831</v>
      </c>
      <c r="R167" s="315">
        <f>(H167/(J167*10000)*1000000)/'Table S-1a'!$AX$16</f>
        <v>25.792262880347966</v>
      </c>
      <c r="S167" s="315">
        <f>(I167/(J167*10000)*1000000)/'Table S-1a'!$AV$16</f>
        <v>105.61169789464928</v>
      </c>
      <c r="T167" s="377">
        <f t="shared" si="51"/>
        <v>4.0947046168298229</v>
      </c>
      <c r="U167" s="373"/>
      <c r="V167" s="330">
        <f t="shared" si="44"/>
        <v>3.0692792827614079</v>
      </c>
      <c r="W167" s="377">
        <f t="shared" si="45"/>
        <v>11.406063372622123</v>
      </c>
      <c r="X167" s="380"/>
      <c r="Y167" s="332">
        <f>('Table S-1a'!AV$16*(J167/100))/H167</f>
        <v>3.51874137380008E-2</v>
      </c>
      <c r="Z167" s="332">
        <f>('Table S-1a'!AW$16*(K167/100))/H167</f>
        <v>0</v>
      </c>
      <c r="AA167" s="332">
        <f t="shared" si="52"/>
        <v>0.96481258626199917</v>
      </c>
      <c r="AB167" s="332">
        <f>('Table S-1a'!AX$16*(J167/100))/I167</f>
        <v>1.0433047416309706E-2</v>
      </c>
      <c r="AC167" s="383">
        <f t="shared" si="53"/>
        <v>0.98956695258369032</v>
      </c>
    </row>
    <row r="168" spans="2:29">
      <c r="B168" s="346" t="s">
        <v>205</v>
      </c>
      <c r="C168" s="355"/>
      <c r="D168" s="369">
        <v>0.04</v>
      </c>
      <c r="E168" s="347">
        <v>0.08</v>
      </c>
      <c r="F168" s="348">
        <v>0.78</v>
      </c>
      <c r="G168" s="347">
        <v>0.11</v>
      </c>
      <c r="H168" s="349">
        <v>9.3008525762756502</v>
      </c>
      <c r="I168" s="349">
        <v>48.095131511263887</v>
      </c>
      <c r="J168" s="370">
        <v>9.5712395435354001</v>
      </c>
      <c r="K168" s="375"/>
      <c r="L168" s="330">
        <f t="shared" si="41"/>
        <v>8.2671587055738271</v>
      </c>
      <c r="M168" s="316">
        <f>(D168-(Y168*'Table S-1a'!$AV$17)-('Table S-1a'!$AW$17*Z168))/AA168</f>
        <v>8.2512298185549962E-2</v>
      </c>
      <c r="N168" s="316">
        <f>$E168*(M168-'Table S-1a'!$AV$17)/($D168-'Table S-1a'!$AV$17)*(1/AA168)</f>
        <v>0.10125651090878278</v>
      </c>
      <c r="O168" s="331">
        <f t="shared" si="42"/>
        <v>46.956154005583173</v>
      </c>
      <c r="P168" s="316">
        <f>(F168-(AB168*'Table S-1a'!$AX$17))/AC168</f>
        <v>0.79891983006796774</v>
      </c>
      <c r="Q168" s="316">
        <f>$G168*(P168-'Table S-1a'!$AX$17)/($F168-'Table S-1a'!$AX$17)*(1/AC168)</f>
        <v>0.11540108224250714</v>
      </c>
      <c r="R168" s="315">
        <f>(H168/(J168*10000)*1000000)/'Table S-1a'!$AX$16</f>
        <v>8.1659668693079013</v>
      </c>
      <c r="S168" s="315">
        <f>(I168/(J168*10000)*1000000)/'Table S-1a'!$AV$16</f>
        <v>46.527441899805261</v>
      </c>
      <c r="T168" s="377">
        <f t="shared" si="51"/>
        <v>5.6977260187866339</v>
      </c>
      <c r="U168" s="373"/>
      <c r="V168" s="330">
        <f t="shared" si="44"/>
        <v>0.9717500574476402</v>
      </c>
      <c r="W168" s="377">
        <f t="shared" si="45"/>
        <v>5.0249637251789681</v>
      </c>
      <c r="X168" s="380"/>
      <c r="Y168" s="332">
        <f>('Table S-1a'!AV$16*(J168/100))/H168</f>
        <v>0.11113968985365279</v>
      </c>
      <c r="Z168" s="332">
        <f>('Table S-1a'!AW$16*(K168/100))/H168</f>
        <v>0</v>
      </c>
      <c r="AA168" s="332">
        <f t="shared" si="52"/>
        <v>0.88886031014634725</v>
      </c>
      <c r="AB168" s="332">
        <f>('Table S-1a'!AX$16*(J168/100))/I168</f>
        <v>2.3681762995366045E-2</v>
      </c>
      <c r="AC168" s="383">
        <f t="shared" si="53"/>
        <v>0.97631823700463394</v>
      </c>
    </row>
    <row r="169" spans="2:29">
      <c r="B169" s="346" t="s">
        <v>206</v>
      </c>
      <c r="C169" s="355"/>
      <c r="D169" s="369" t="s">
        <v>223</v>
      </c>
      <c r="E169" s="347"/>
      <c r="F169" s="348">
        <v>0.62</v>
      </c>
      <c r="G169" s="347">
        <v>0.11</v>
      </c>
      <c r="H169" s="349">
        <v>21.091674000126872</v>
      </c>
      <c r="I169" s="349">
        <v>85.549607419704913</v>
      </c>
      <c r="J169" s="370">
        <v>7.0928672515011071</v>
      </c>
      <c r="K169" s="375"/>
      <c r="L169" s="330">
        <f t="shared" si="41"/>
        <v>20.325644336964753</v>
      </c>
      <c r="M169" s="316"/>
      <c r="N169" s="316"/>
      <c r="O169" s="331">
        <f t="shared" si="42"/>
        <v>84.705556216776287</v>
      </c>
      <c r="P169" s="316"/>
      <c r="Q169" s="316"/>
      <c r="R169" s="315">
        <f>(H169/(J169*10000)*1000000)/'Table S-1a'!$AX$16</f>
        <v>24.988619087259647</v>
      </c>
      <c r="S169" s="315">
        <f>(I169/(J169*10000)*1000000)/'Table S-1a'!$AV$16</f>
        <v>111.67923584912079</v>
      </c>
      <c r="T169" s="377">
        <f t="shared" si="51"/>
        <v>4.4692039787848872</v>
      </c>
      <c r="U169" s="373"/>
      <c r="V169" s="330">
        <f t="shared" si="44"/>
        <v>2.9736456713838977</v>
      </c>
      <c r="W169" s="377">
        <f t="shared" si="45"/>
        <v>12.061357471705046</v>
      </c>
      <c r="X169" s="380"/>
      <c r="Y169" s="332">
        <f>('Table S-1a'!AV$16*(J169/100))/H169</f>
        <v>3.6319054768128495E-2</v>
      </c>
      <c r="Z169" s="332">
        <f>('Table S-1a'!AW$16*(K169/100))/H169</f>
        <v>0</v>
      </c>
      <c r="AA169" s="332">
        <f t="shared" si="52"/>
        <v>0.96368094523187153</v>
      </c>
      <c r="AB169" s="332">
        <f>('Table S-1a'!AX$16*(J169/100))/I169</f>
        <v>9.866219476469729E-3</v>
      </c>
      <c r="AC169" s="383">
        <f t="shared" si="53"/>
        <v>0.99013378052353029</v>
      </c>
    </row>
    <row r="170" spans="2:29">
      <c r="B170" s="346" t="s">
        <v>207</v>
      </c>
      <c r="C170" s="355"/>
      <c r="D170" s="369">
        <v>0.03</v>
      </c>
      <c r="E170" s="347">
        <v>0.08</v>
      </c>
      <c r="F170" s="348">
        <v>1.1100000000000001</v>
      </c>
      <c r="G170" s="347">
        <v>0.11</v>
      </c>
      <c r="H170" s="349">
        <v>18.307046514491098</v>
      </c>
      <c r="I170" s="349">
        <v>74.934879729094348</v>
      </c>
      <c r="J170" s="370">
        <v>8.3378083731891977</v>
      </c>
      <c r="K170" s="375"/>
      <c r="L170" s="330">
        <f t="shared" si="41"/>
        <v>17.406563210186665</v>
      </c>
      <c r="M170" s="316">
        <f>(D170-(Y170*'Table S-1a'!$AV$17)-('Table S-1a'!$AW$17*Z170))/AA170</f>
        <v>4.7071692259535725E-2</v>
      </c>
      <c r="N170" s="316">
        <f>$E170*(M170-'Table S-1a'!$AV$17)/($D170-'Table S-1a'!$AV$17)*(1/AA170)</f>
        <v>8.8491283429126086E-2</v>
      </c>
      <c r="O170" s="331">
        <f t="shared" si="42"/>
        <v>73.942680532684832</v>
      </c>
      <c r="P170" s="316">
        <f>(F170-(AB170*'Table S-1a'!$AX$17))/AC170</f>
        <v>1.124894525057524</v>
      </c>
      <c r="Q170" s="316">
        <f>$G170*(P170-'Table S-1a'!$AX$17)/($F170-'Table S-1a'!$AX$17)*(1/AC170)</f>
        <v>0.11297187417862442</v>
      </c>
      <c r="R170" s="315">
        <f>(H170/(J170*10000)*1000000)/'Table S-1a'!$AX$16</f>
        <v>18.45097897754712</v>
      </c>
      <c r="S170" s="315">
        <f>(I170/(J170*10000)*1000000)/'Table S-1a'!$AV$16</f>
        <v>83.216289931079643</v>
      </c>
      <c r="T170" s="377">
        <f t="shared" si="51"/>
        <v>4.5101287054928099</v>
      </c>
      <c r="U170" s="373"/>
      <c r="V170" s="330">
        <f t="shared" si="44"/>
        <v>2.1956664983281073</v>
      </c>
      <c r="W170" s="377">
        <f t="shared" si="45"/>
        <v>8.9873593125566025</v>
      </c>
      <c r="X170" s="380"/>
      <c r="Y170" s="332">
        <f>('Table S-1a'!AV$16*(J170/100))/H170</f>
        <v>4.9187797911129372E-2</v>
      </c>
      <c r="Z170" s="332">
        <f>('Table S-1a'!AW$16*(K170/100))/H170</f>
        <v>0</v>
      </c>
      <c r="AA170" s="332">
        <f t="shared" si="52"/>
        <v>0.95081220208887063</v>
      </c>
      <c r="AB170" s="332">
        <f>('Table S-1a'!AX$16*(J170/100))/I170</f>
        <v>1.3240819228595914E-2</v>
      </c>
      <c r="AC170" s="383">
        <f t="shared" si="53"/>
        <v>0.98675918077140412</v>
      </c>
    </row>
    <row r="171" spans="2:29">
      <c r="B171" s="346" t="s">
        <v>208</v>
      </c>
      <c r="C171" s="355"/>
      <c r="D171" s="369">
        <v>-0.06</v>
      </c>
      <c r="E171" s="347">
        <v>0.08</v>
      </c>
      <c r="F171" s="348">
        <v>1.18</v>
      </c>
      <c r="G171" s="347">
        <v>0.11</v>
      </c>
      <c r="H171" s="349">
        <v>18.911392061162015</v>
      </c>
      <c r="I171" s="349">
        <v>65.857922132248575</v>
      </c>
      <c r="J171" s="370">
        <v>8.0991790297415474</v>
      </c>
      <c r="K171" s="375"/>
      <c r="L171" s="330">
        <f t="shared" si="41"/>
        <v>18.036680725949928</v>
      </c>
      <c r="M171" s="316">
        <f>(D171-(Y171*'Table S-1a'!$AV$17)-('Table S-1a'!$AW$17*Z171))/AA171</f>
        <v>-4.8360900564765934E-2</v>
      </c>
      <c r="N171" s="316">
        <f>$E171*(M171-'Table S-1a'!$AV$17)/($D171-'Table S-1a'!$AV$17)*(1/AA171)</f>
        <v>8.7947550506355027E-2</v>
      </c>
      <c r="O171" s="331">
        <f t="shared" si="42"/>
        <v>64.894119827709332</v>
      </c>
      <c r="P171" s="316">
        <f>(F171-(AB171*'Table S-1a'!$AX$17))/AC171</f>
        <v>1.1975252661161866</v>
      </c>
      <c r="Q171" s="316">
        <f>$G171*(P171-'Table S-1a'!$AX$17)/($F171-'Table S-1a'!$AX$17)*(1/AC171)</f>
        <v>0.11329168624571301</v>
      </c>
      <c r="R171" s="315">
        <f>(H171/(J171*10000)*1000000)/'Table S-1a'!$AX$16</f>
        <v>19.621650593793515</v>
      </c>
      <c r="S171" s="315">
        <f>(I171/(J171*10000)*1000000)/'Table S-1a'!$AV$16</f>
        <v>75.291035432026618</v>
      </c>
      <c r="T171" s="377">
        <f t="shared" si="51"/>
        <v>3.8371407681595238</v>
      </c>
      <c r="U171" s="373"/>
      <c r="V171" s="330">
        <f t="shared" si="44"/>
        <v>2.3349764206614281</v>
      </c>
      <c r="W171" s="377">
        <f t="shared" si="45"/>
        <v>8.1314318266588757</v>
      </c>
      <c r="X171" s="380"/>
      <c r="Y171" s="332">
        <f>('Table S-1a'!AV$16*(J171/100))/H171</f>
        <v>4.6253143733848451E-2</v>
      </c>
      <c r="Z171" s="332">
        <f>('Table S-1a'!AW$16*(K171/100))/H171</f>
        <v>0</v>
      </c>
      <c r="AA171" s="332">
        <f t="shared" si="52"/>
        <v>0.95374685626615152</v>
      </c>
      <c r="AB171" s="332">
        <f>('Table S-1a'!AX$16*(J171/100))/I171</f>
        <v>1.4634568983270431E-2</v>
      </c>
      <c r="AC171" s="383">
        <f t="shared" si="53"/>
        <v>0.98536543101672958</v>
      </c>
    </row>
    <row r="172" spans="2:29">
      <c r="B172" s="346" t="s">
        <v>209</v>
      </c>
      <c r="C172" s="355"/>
      <c r="D172" s="369">
        <v>0.01</v>
      </c>
      <c r="E172" s="347">
        <v>0.1</v>
      </c>
      <c r="F172" s="348">
        <v>0.97</v>
      </c>
      <c r="G172" s="347">
        <v>0.11</v>
      </c>
      <c r="H172" s="349">
        <v>17.008112650923735</v>
      </c>
      <c r="I172" s="349">
        <v>60.121036947763962</v>
      </c>
      <c r="J172" s="370">
        <v>6.7342899994098175</v>
      </c>
      <c r="K172" s="375"/>
      <c r="L172" s="330">
        <f t="shared" si="41"/>
        <v>16.280809330987477</v>
      </c>
      <c r="M172" s="316">
        <f>(D172-(Y172*'Table S-1a'!$AV$17)-('Table S-1a'!$AW$17*Z172))/AA172</f>
        <v>2.384845339052722E-2</v>
      </c>
      <c r="N172" s="316">
        <f>$E172*(M172-'Table S-1a'!$AV$17)/($D172-'Table S-1a'!$AV$17)*(1/AA172)</f>
        <v>0.10913404866122421</v>
      </c>
      <c r="O172" s="331">
        <f t="shared" si="42"/>
        <v>59.31965643783419</v>
      </c>
      <c r="P172" s="316">
        <f>(F172-(AB172*'Table S-1a'!$AX$17))/AC172</f>
        <v>0.98310424134783236</v>
      </c>
      <c r="Q172" s="316">
        <f>$G172*(P172-'Table S-1a'!$AX$17)/($F172-'Table S-1a'!$AX$17)*(1/AC172)</f>
        <v>0.11299217178145465</v>
      </c>
      <c r="R172" s="315">
        <f>(H172/(J172*10000)*1000000)/'Table S-1a'!$AX$16</f>
        <v>21.223516719185369</v>
      </c>
      <c r="S172" s="315">
        <f>(I172/(J172*10000)*1000000)/'Table S-1a'!$AV$16</f>
        <v>82.662948593487613</v>
      </c>
      <c r="T172" s="377">
        <f t="shared" si="51"/>
        <v>3.894875184316791</v>
      </c>
      <c r="U172" s="373"/>
      <c r="V172" s="330">
        <f t="shared" si="44"/>
        <v>2.525598489583059</v>
      </c>
      <c r="W172" s="377">
        <f t="shared" si="45"/>
        <v>8.9275984480966617</v>
      </c>
      <c r="X172" s="380"/>
      <c r="Y172" s="332">
        <f>('Table S-1a'!AV$16*(J172/100))/H172</f>
        <v>4.2762141506439255E-2</v>
      </c>
      <c r="Z172" s="332">
        <f>('Table S-1a'!AW$16*(K172/100))/H172</f>
        <v>0</v>
      </c>
      <c r="AA172" s="332">
        <f t="shared" si="52"/>
        <v>0.9572378584935608</v>
      </c>
      <c r="AB172" s="332">
        <f>('Table S-1a'!AX$16*(J172/100))/I172</f>
        <v>1.332945256127312E-2</v>
      </c>
      <c r="AC172" s="383">
        <f t="shared" si="53"/>
        <v>0.98667054743872684</v>
      </c>
    </row>
    <row r="173" spans="2:29">
      <c r="B173" s="346" t="s">
        <v>210</v>
      </c>
      <c r="C173" s="355"/>
      <c r="D173" s="369">
        <v>-0.06</v>
      </c>
      <c r="E173" s="347">
        <v>0.08</v>
      </c>
      <c r="F173" s="348">
        <v>1.61</v>
      </c>
      <c r="G173" s="347">
        <v>0.11</v>
      </c>
      <c r="H173" s="349">
        <v>22.612519212956862</v>
      </c>
      <c r="I173" s="349">
        <v>120.78856725292816</v>
      </c>
      <c r="J173" s="370">
        <v>6.1407084006011834</v>
      </c>
      <c r="K173" s="375"/>
      <c r="L173" s="330">
        <f t="shared" si="41"/>
        <v>21.949322705691934</v>
      </c>
      <c r="M173" s="316">
        <f>(D173-(Y173*'Table S-1a'!$AV$17)-('Table S-1a'!$AW$17*Z173))/AA173</f>
        <v>-5.274842491142985E-2</v>
      </c>
      <c r="N173" s="316">
        <f>$E173*(M173-'Table S-1a'!$AV$17)/($D173-'Table S-1a'!$AV$17)*(1/AA173)</f>
        <v>8.4907418588581723E-2</v>
      </c>
      <c r="O173" s="331">
        <f t="shared" si="42"/>
        <v>120.05782295325662</v>
      </c>
      <c r="P173" s="316">
        <f>(F173-(AB173*'Table S-1a'!$AX$17))/AC173</f>
        <v>1.6197994307537065</v>
      </c>
      <c r="Q173" s="316">
        <f>$G173*(P173-'Table S-1a'!$AX$17)/($F173-'Table S-1a'!$AX$17)*(1/AC173)</f>
        <v>0.1113431277904801</v>
      </c>
      <c r="R173" s="315">
        <f>(H173/(J173*10000)*1000000)/'Table S-1a'!$AX$16</f>
        <v>30.944503054106434</v>
      </c>
      <c r="S173" s="315">
        <f>(I173/(J173*10000)*1000000)/'Table S-1a'!$AV$16</f>
        <v>182.13088568736475</v>
      </c>
      <c r="T173" s="377">
        <f t="shared" si="51"/>
        <v>5.8857266303132763</v>
      </c>
      <c r="U173" s="373"/>
      <c r="V173" s="330">
        <f t="shared" si="44"/>
        <v>3.6823958634386655</v>
      </c>
      <c r="W173" s="377">
        <f t="shared" si="45"/>
        <v>19.670135654235398</v>
      </c>
      <c r="X173" s="380"/>
      <c r="Y173" s="332">
        <f>('Table S-1a'!AV$16*(J173/100))/H173</f>
        <v>2.9328731620708565E-2</v>
      </c>
      <c r="Z173" s="332">
        <f>('Table S-1a'!AW$16*(K173/100))/H173</f>
        <v>0</v>
      </c>
      <c r="AA173" s="332">
        <f t="shared" si="52"/>
        <v>0.97067126837929141</v>
      </c>
      <c r="AB173" s="332">
        <f>('Table S-1a'!AX$16*(J173/100))/I173</f>
        <v>6.0497803417220849E-3</v>
      </c>
      <c r="AC173" s="383">
        <f t="shared" si="53"/>
        <v>0.9939502196582779</v>
      </c>
    </row>
    <row r="174" spans="2:29">
      <c r="B174" s="346" t="s">
        <v>211</v>
      </c>
      <c r="C174" s="355"/>
      <c r="D174" s="369">
        <v>-7.0000000000000007E-2</v>
      </c>
      <c r="E174" s="347">
        <v>0.11</v>
      </c>
      <c r="F174" s="348">
        <v>1.28</v>
      </c>
      <c r="G174" s="347">
        <v>0.11</v>
      </c>
      <c r="H174" s="349">
        <v>22.482853886161898</v>
      </c>
      <c r="I174" s="349">
        <v>108.2987947715735</v>
      </c>
      <c r="J174" s="370">
        <v>6.2098671464778539</v>
      </c>
      <c r="K174" s="375"/>
      <c r="L174" s="330">
        <f t="shared" si="41"/>
        <v>21.81218823434229</v>
      </c>
      <c r="M174" s="316">
        <f>(D174-(Y174*'Table S-1a'!$AV$17)-('Table S-1a'!$AW$17*Z174))/AA174</f>
        <v>-6.2928123567371139E-2</v>
      </c>
      <c r="N174" s="316">
        <f>$E174*(M174-'Table S-1a'!$AV$17)/($D174-'Table S-1a'!$AV$17)*(1/AA174)</f>
        <v>0.11686839707904803</v>
      </c>
      <c r="O174" s="331">
        <f t="shared" si="42"/>
        <v>107.55982058114263</v>
      </c>
      <c r="P174" s="316">
        <f>(F174-(AB174*'Table S-1a'!$AX$17))/AC174</f>
        <v>1.288794054867709</v>
      </c>
      <c r="Q174" s="316">
        <f>$G174*(P174-'Table S-1a'!$AX$17)/($F174-'Table S-1a'!$AX$17)*(1/AC174)</f>
        <v>0.11151667037650065</v>
      </c>
      <c r="R174" s="315">
        <f>(H174/(J174*10000)*1000000)/'Table S-1a'!$AX$16</f>
        <v>30.42441018549389</v>
      </c>
      <c r="S174" s="315">
        <f>(I174/(J174*10000)*1000000)/'Table S-1a'!$AV$16</f>
        <v>161.4795606092901</v>
      </c>
      <c r="T174" s="377">
        <f t="shared" si="51"/>
        <v>5.3075658533647507</v>
      </c>
      <c r="U174" s="373"/>
      <c r="V174" s="330">
        <f t="shared" si="44"/>
        <v>3.6205048120737726</v>
      </c>
      <c r="W174" s="377">
        <f t="shared" si="45"/>
        <v>17.439792545803336</v>
      </c>
      <c r="X174" s="380"/>
      <c r="Y174" s="332">
        <f>('Table S-1a'!AV$16*(J174/100))/H174</f>
        <v>2.983009431166566E-2</v>
      </c>
      <c r="Z174" s="332">
        <f>('Table S-1a'!AW$16*(K174/100))/H174</f>
        <v>0</v>
      </c>
      <c r="AA174" s="332">
        <f t="shared" si="52"/>
        <v>0.97016990568833439</v>
      </c>
      <c r="AB174" s="332">
        <f>('Table S-1a'!AX$16*(J174/100))/I174</f>
        <v>6.8234756627673218E-3</v>
      </c>
      <c r="AC174" s="383">
        <f t="shared" si="53"/>
        <v>0.99317652433723269</v>
      </c>
    </row>
    <row r="175" spans="2:29">
      <c r="B175" s="346" t="s">
        <v>212</v>
      </c>
      <c r="D175" s="369">
        <v>-0.12</v>
      </c>
      <c r="E175" s="347">
        <v>0.08</v>
      </c>
      <c r="F175" s="348">
        <v>1.7</v>
      </c>
      <c r="G175" s="347">
        <v>0.11</v>
      </c>
      <c r="H175" s="349">
        <v>15.91241978493502</v>
      </c>
      <c r="I175" s="349">
        <v>70.337128194276701</v>
      </c>
      <c r="J175" s="370">
        <v>5.4710292125074425</v>
      </c>
      <c r="L175" s="330">
        <f t="shared" si="41"/>
        <v>15.321548629984216</v>
      </c>
      <c r="M175" s="316">
        <f>(D175-(Y175*'Table S-1a'!$AV$17)-('Table S-1a'!$AW$17*Z175))/AA175</f>
        <v>-0.1130583513155449</v>
      </c>
      <c r="N175" s="316">
        <f>$E175*(M175-'Table S-1a'!$AV$17)/($D175-'Table S-1a'!$AV$17)*(1/AA175)</f>
        <v>8.6289333365091939E-2</v>
      </c>
      <c r="O175" s="331">
        <f t="shared" si="42"/>
        <v>69.686075717988317</v>
      </c>
      <c r="P175" s="316">
        <f>(F175-(AB175*'Table S-1a'!$AX$17))/AC175</f>
        <v>1.7158825016086328</v>
      </c>
      <c r="Q175" s="316">
        <f>$G175*(P175-'Table S-1a'!$AX$17)/($F175-'Table S-1a'!$AX$17)*(1/AC175)</f>
        <v>0.11206498391900935</v>
      </c>
      <c r="R175" s="315">
        <f>(H175/(J175*10000)*1000000)/'Table S-1a'!$AX$16</f>
        <v>24.441070980408291</v>
      </c>
      <c r="S175" s="315">
        <f>(I175/(J175*10000)*1000000)/'Table S-1a'!$AV$16</f>
        <v>119.03970536543285</v>
      </c>
      <c r="T175" s="377">
        <f t="shared" ref="T175:T185" si="54">S175/R175</f>
        <v>4.8704782806307403</v>
      </c>
      <c r="U175" s="373"/>
      <c r="V175" s="330">
        <f t="shared" si="44"/>
        <v>2.9084874466685866</v>
      </c>
      <c r="W175" s="377">
        <f t="shared" si="45"/>
        <v>12.856288179466748</v>
      </c>
      <c r="Y175" s="332">
        <f>('Table S-1a'!AV$16*(J175/100))/H175</f>
        <v>3.7132702815583535E-2</v>
      </c>
      <c r="Z175" s="332">
        <f>('Table S-1a'!AW$16*(K175/100))/H175</f>
        <v>0</v>
      </c>
      <c r="AA175" s="332">
        <f t="shared" ref="AA175:AA184" si="55">1-(Y175+Z175)</f>
        <v>0.96286729718441644</v>
      </c>
      <c r="AB175" s="332">
        <f>('Table S-1a'!AX$16*(J175/100))/I175</f>
        <v>9.2561708588688382E-3</v>
      </c>
      <c r="AC175" s="383">
        <f t="shared" ref="AC175:AC185" si="56">1-(AB175)</f>
        <v>0.99074382914113113</v>
      </c>
    </row>
    <row r="176" spans="2:29">
      <c r="B176" s="346" t="s">
        <v>213</v>
      </c>
      <c r="D176" s="369">
        <v>-0.14000000000000001</v>
      </c>
      <c r="E176" s="347">
        <v>0.08</v>
      </c>
      <c r="F176" s="348">
        <v>1.46</v>
      </c>
      <c r="G176" s="347">
        <v>0.11</v>
      </c>
      <c r="H176" s="349">
        <v>20.135241877734053</v>
      </c>
      <c r="I176" s="349">
        <v>83.750184515949343</v>
      </c>
      <c r="J176" s="370">
        <v>6.3392650643778135</v>
      </c>
      <c r="L176" s="330">
        <f t="shared" si="41"/>
        <v>19.450601250781251</v>
      </c>
      <c r="M176" s="316">
        <f>(D176-(Y176*'Table S-1a'!$AV$17)-('Table S-1a'!$AW$17*Z176))/AA176</f>
        <v>-0.1343681689372945</v>
      </c>
      <c r="N176" s="316">
        <f>$E176*(M176-'Table S-1a'!$AV$17)/($D176-'Table S-1a'!$AV$17)*(1/AA176)</f>
        <v>8.5730948316201927E-2</v>
      </c>
      <c r="O176" s="331">
        <f t="shared" si="42"/>
        <v>82.995811973288383</v>
      </c>
      <c r="P176" s="316">
        <f>(F176-(AB176*'Table S-1a'!$AX$17))/AC176</f>
        <v>1.4732703552878004</v>
      </c>
      <c r="Q176" s="316">
        <f>$G176*(P176-'Table S-1a'!$AX$17)/($F176-'Table S-1a'!$AX$17)*(1/AC176)</f>
        <v>0.1120087302377006</v>
      </c>
      <c r="R176" s="315">
        <f>(H176/(J176*10000)*1000000)/'Table S-1a'!$AX$16</f>
        <v>26.691376924601961</v>
      </c>
      <c r="S176" s="315">
        <f>(I176/(J176*10000)*1000000)/'Table S-1a'!$AV$16</f>
        <v>122.32721988571487</v>
      </c>
      <c r="T176" s="377">
        <f t="shared" si="54"/>
        <v>4.5830239568106919</v>
      </c>
      <c r="U176" s="373"/>
      <c r="V176" s="330">
        <f t="shared" si="44"/>
        <v>3.1762738540276336</v>
      </c>
      <c r="W176" s="377">
        <f t="shared" si="45"/>
        <v>13.21133974765721</v>
      </c>
      <c r="Y176" s="332">
        <f>('Table S-1a'!AV$16*(J176/100))/H176</f>
        <v>3.4002105915096704E-2</v>
      </c>
      <c r="Z176" s="332">
        <f>('Table S-1a'!AW$16*(K176/100))/H176</f>
        <v>0</v>
      </c>
      <c r="AA176" s="332">
        <f t="shared" si="55"/>
        <v>0.96599789408490333</v>
      </c>
      <c r="AB176" s="332">
        <f>('Table S-1a'!AX$16*(J176/100))/I176</f>
        <v>9.0074135002926187E-3</v>
      </c>
      <c r="AC176" s="383">
        <f t="shared" si="56"/>
        <v>0.99099258649970734</v>
      </c>
    </row>
    <row r="177" spans="1:29">
      <c r="B177" s="346" t="s">
        <v>214</v>
      </c>
      <c r="D177" s="369">
        <v>-0.15</v>
      </c>
      <c r="E177" s="347">
        <v>0.08</v>
      </c>
      <c r="F177" s="348">
        <v>1.58</v>
      </c>
      <c r="G177" s="347">
        <v>0.11</v>
      </c>
      <c r="H177" s="349">
        <v>13.982884319127285</v>
      </c>
      <c r="I177" s="349">
        <v>65.454154411821733</v>
      </c>
      <c r="J177" s="370">
        <v>4.7779887935091692</v>
      </c>
      <c r="L177" s="330">
        <f t="shared" si="41"/>
        <v>13.466861529428295</v>
      </c>
      <c r="M177" s="316">
        <f>(D177-(Y177*'Table S-1a'!$AV$17)-('Table S-1a'!$AW$17*Z177))/AA177</f>
        <v>-0.14425230457106109</v>
      </c>
      <c r="N177" s="316">
        <f>$E177*(M177-'Table S-1a'!$AV$17)/($D177-'Table S-1a'!$AV$17)*(1/AA177)</f>
        <v>8.6248336467290757E-2</v>
      </c>
      <c r="O177" s="331">
        <f t="shared" si="42"/>
        <v>64.88557374539414</v>
      </c>
      <c r="P177" s="316">
        <f>(F177-(AB177*'Table S-1a'!$AX$17))/AC177</f>
        <v>1.5938452571365198</v>
      </c>
      <c r="Q177" s="316">
        <f>$G177*(P177-'Table S-1a'!$AX$17)/($F177-'Table S-1a'!$AX$17)*(1/AC177)</f>
        <v>0.11193626718739931</v>
      </c>
      <c r="R177" s="315">
        <f>(H177/(J177*10000)*1000000)/'Table S-1a'!$AX$16</f>
        <v>24.592613053451419</v>
      </c>
      <c r="S177" s="315">
        <f>(I177/(J177*10000)*1000000)/'Table S-1a'!$AV$16</f>
        <v>126.84353427491617</v>
      </c>
      <c r="T177" s="377">
        <f t="shared" si="54"/>
        <v>5.1577900241517636</v>
      </c>
      <c r="U177" s="373"/>
      <c r="V177" s="330">
        <f t="shared" si="44"/>
        <v>2.9265209533607188</v>
      </c>
      <c r="W177" s="377">
        <f t="shared" si="45"/>
        <v>13.699101701690946</v>
      </c>
      <c r="Y177" s="332">
        <f>('Table S-1a'!AV$16*(J177/100))/H177</f>
        <v>3.6903887490016572E-2</v>
      </c>
      <c r="Z177" s="332">
        <f>('Table S-1a'!AW$16*(K177/100))/H177</f>
        <v>0</v>
      </c>
      <c r="AA177" s="332">
        <f t="shared" si="55"/>
        <v>0.96309611250998339</v>
      </c>
      <c r="AB177" s="332">
        <f>('Table S-1a'!AX$16*(J177/100))/I177</f>
        <v>8.6867009670649614E-3</v>
      </c>
      <c r="AC177" s="383">
        <f t="shared" si="56"/>
        <v>0.99131329903293508</v>
      </c>
    </row>
    <row r="178" spans="1:29">
      <c r="B178" s="346" t="s">
        <v>215</v>
      </c>
      <c r="D178" s="369">
        <v>-0.24</v>
      </c>
      <c r="E178" s="347">
        <v>0.08</v>
      </c>
      <c r="F178" s="348">
        <v>1.66</v>
      </c>
      <c r="G178" s="347">
        <v>3</v>
      </c>
      <c r="H178" s="349">
        <v>29.532330854266966</v>
      </c>
      <c r="I178" s="349">
        <v>125.09155121063053</v>
      </c>
      <c r="J178" s="370">
        <v>4.8386551997754461</v>
      </c>
      <c r="L178" s="330">
        <f t="shared" si="41"/>
        <v>29.009756092691219</v>
      </c>
      <c r="M178" s="316">
        <f>(D178-(Y178*'Table S-1a'!$AV$17)-('Table S-1a'!$AW$17*Z178))/AA178</f>
        <v>-0.23891917444619798</v>
      </c>
      <c r="N178" s="316">
        <f>$E178*(M178-'Table S-1a'!$AV$17)/($D178-'Table S-1a'!$AV$17)*(1/AA178)</f>
        <v>8.2908161118533219E-2</v>
      </c>
      <c r="O178" s="331">
        <f t="shared" si="42"/>
        <v>124.51575124185726</v>
      </c>
      <c r="P178" s="316">
        <f>(F178-(AB178*'Table S-1a'!$AX$17))/AC178</f>
        <v>1.6676763617344046</v>
      </c>
      <c r="Q178" s="316">
        <f>$G178*(P178-'Table S-1a'!$AX$17)/($F178-'Table S-1a'!$AX$17)*(1/AC178)</f>
        <v>3.0278100386351805</v>
      </c>
      <c r="R178" s="315">
        <f>(H178/(J178*10000)*1000000)/'Table S-1a'!$AX$16</f>
        <v>51.289219270338918</v>
      </c>
      <c r="S178" s="315">
        <f>(I178/(J178*10000)*1000000)/'Table S-1a'!$AV$16</f>
        <v>239.37541651157272</v>
      </c>
      <c r="T178" s="377">
        <f t="shared" si="54"/>
        <v>4.6671682649302086</v>
      </c>
      <c r="U178" s="373"/>
      <c r="V178" s="330">
        <f t="shared" si="44"/>
        <v>6.1034170931703322</v>
      </c>
      <c r="W178" s="377">
        <f t="shared" si="45"/>
        <v>25.852544983249853</v>
      </c>
      <c r="Y178" s="332">
        <f>('Table S-1a'!AV$16*(J178/100))/H178</f>
        <v>1.7695005658527094E-2</v>
      </c>
      <c r="Z178" s="332">
        <f>('Table S-1a'!AW$16*(K178/100))/H178</f>
        <v>0</v>
      </c>
      <c r="AA178" s="332">
        <f t="shared" si="55"/>
        <v>0.98230499434147289</v>
      </c>
      <c r="AB178" s="332">
        <f>('Table S-1a'!AX$16*(J178/100))/I178</f>
        <v>4.60302844757069E-3</v>
      </c>
      <c r="AC178" s="383">
        <f t="shared" si="56"/>
        <v>0.99539697155242934</v>
      </c>
    </row>
    <row r="179" spans="1:29">
      <c r="B179" s="345" t="s">
        <v>216</v>
      </c>
      <c r="D179" s="369"/>
      <c r="E179" s="347"/>
      <c r="F179" s="348"/>
      <c r="G179" s="347"/>
      <c r="H179" s="349"/>
      <c r="I179" s="349"/>
      <c r="J179" s="370"/>
      <c r="L179" s="330"/>
      <c r="M179" s="316"/>
      <c r="N179" s="316"/>
      <c r="O179" s="331"/>
      <c r="P179" s="316"/>
      <c r="Q179" s="316"/>
      <c r="R179" s="315"/>
      <c r="S179" s="315"/>
      <c r="T179" s="377"/>
      <c r="U179" s="373"/>
      <c r="V179" s="330"/>
      <c r="W179" s="377"/>
      <c r="Y179" s="332"/>
      <c r="Z179" s="332"/>
      <c r="AA179" s="332"/>
      <c r="AB179" s="332"/>
      <c r="AC179" s="383"/>
    </row>
    <row r="180" spans="1:29">
      <c r="B180" s="346" t="s">
        <v>217</v>
      </c>
      <c r="D180" s="369">
        <v>-0.03</v>
      </c>
      <c r="E180" s="347">
        <v>0.08</v>
      </c>
      <c r="F180" s="348">
        <v>1.28</v>
      </c>
      <c r="G180" s="347">
        <v>0.11</v>
      </c>
      <c r="H180" s="349">
        <v>26.69862922326055</v>
      </c>
      <c r="I180" s="349">
        <v>132.79611328582763</v>
      </c>
      <c r="J180" s="370">
        <v>6.3253879356879921</v>
      </c>
      <c r="L180" s="330">
        <f t="shared" ref="L180:L185" si="57">AA180*H180</f>
        <v>26.015487326206248</v>
      </c>
      <c r="M180" s="316">
        <f>(D180-(Y180*'Table S-1a'!$AV$17)-('Table S-1a'!$AW$17*Z180))/AA180</f>
        <v>-2.2910057386514488E-2</v>
      </c>
      <c r="N180" s="316">
        <f>$E180*(M180-'Table S-1a'!$AV$17)/($D180-'Table S-1a'!$AV$17)*(1/AA180)</f>
        <v>8.4256610477415297E-2</v>
      </c>
      <c r="O180" s="331">
        <f t="shared" ref="O180:O185" si="58">I180*AC180</f>
        <v>132.04339212148076</v>
      </c>
      <c r="P180" s="316">
        <f>(F180-(AB180*'Table S-1a'!$AX$17))/AC180</f>
        <v>1.2872967156847772</v>
      </c>
      <c r="Q180" s="316">
        <f>$G180*(P180-'Table S-1a'!$AX$17)/($F180-'Table S-1a'!$AX$17)*(1/AC180)</f>
        <v>0.11125769760950291</v>
      </c>
      <c r="R180" s="315">
        <f>(H180/(J180*10000)*1000000)/'Table S-1a'!$AX$16</f>
        <v>35.469481247317781</v>
      </c>
      <c r="S180" s="315">
        <f>(I180/(J180*10000)*1000000)/'Table S-1a'!$AV$16</f>
        <v>194.39023409110513</v>
      </c>
      <c r="T180" s="377">
        <f t="shared" si="54"/>
        <v>5.4804927293884518</v>
      </c>
      <c r="U180" s="373"/>
      <c r="V180" s="330">
        <f t="shared" ref="V180:V185" si="59">H180/J180</f>
        <v>4.2208682684308165</v>
      </c>
      <c r="W180" s="377">
        <f t="shared" ref="W180:W185" si="60">I180/J180</f>
        <v>20.994145281839355</v>
      </c>
      <c r="Y180" s="332">
        <f>('Table S-1a'!AV$16*(J180/100))/H180</f>
        <v>2.5587152484185669E-2</v>
      </c>
      <c r="Z180" s="332">
        <f>('Table S-1a'!AW$16*(K180/100))/H180</f>
        <v>0</v>
      </c>
      <c r="AA180" s="332">
        <f t="shared" si="55"/>
        <v>0.97441284751581436</v>
      </c>
      <c r="AB180" s="332">
        <f>('Table S-1a'!AX$16*(J180/100))/I180</f>
        <v>5.6682469518270434E-3</v>
      </c>
      <c r="AC180" s="383">
        <f t="shared" si="56"/>
        <v>0.99433175304817301</v>
      </c>
    </row>
    <row r="181" spans="1:29">
      <c r="B181" s="346" t="s">
        <v>218</v>
      </c>
      <c r="D181" s="369">
        <v>-0.28999999999999998</v>
      </c>
      <c r="E181" s="347">
        <v>0.08</v>
      </c>
      <c r="F181" s="348">
        <v>2.0499999999999998</v>
      </c>
      <c r="G181" s="347">
        <v>0.11</v>
      </c>
      <c r="H181" s="349">
        <v>26.392198945787136</v>
      </c>
      <c r="I181" s="349">
        <v>58.658192512321385</v>
      </c>
      <c r="J181" s="370">
        <v>6.6659583734460712</v>
      </c>
      <c r="L181" s="330">
        <f t="shared" si="57"/>
        <v>25.672275441454961</v>
      </c>
      <c r="M181" s="316">
        <f>(D181-(Y181*'Table S-1a'!$AV$17)-('Table S-1a'!$AW$17*Z181))/AA181</f>
        <v>-0.28971957160323636</v>
      </c>
      <c r="N181" s="316">
        <f>$E181*(M181-'Table S-1a'!$AV$17)/($D181-'Table S-1a'!$AV$17)*(1/AA181)</f>
        <v>8.4549766416787214E-2</v>
      </c>
      <c r="O181" s="331">
        <f t="shared" si="58"/>
        <v>57.864943465881304</v>
      </c>
      <c r="P181" s="316">
        <f>(F181-(AB181*'Table S-1a'!$AX$17))/AC181</f>
        <v>2.0781026896044752</v>
      </c>
      <c r="Q181" s="316">
        <f>$G181*(P181-'Table S-1a'!$AX$17)/($F181-'Table S-1a'!$AX$17)*(1/AC181)</f>
        <v>0.11303657031280166</v>
      </c>
      <c r="R181" s="315">
        <f>(H181/(J181*10000)*1000000)/'Table S-1a'!$AX$16</f>
        <v>33.271012507647121</v>
      </c>
      <c r="S181" s="315">
        <f>(I181/(J181*10000)*1000000)/'Table S-1a'!$AV$16</f>
        <v>81.478368409063975</v>
      </c>
      <c r="T181" s="377">
        <f t="shared" si="54"/>
        <v>2.4489296317729048</v>
      </c>
      <c r="U181" s="373"/>
      <c r="V181" s="330">
        <f t="shared" si="59"/>
        <v>3.9592504884100075</v>
      </c>
      <c r="W181" s="377">
        <f t="shared" si="60"/>
        <v>8.7996637881789113</v>
      </c>
      <c r="Y181" s="332">
        <f>('Table S-1a'!AV$16*(J181/100))/H181</f>
        <v>2.7277890175463903E-2</v>
      </c>
      <c r="Z181" s="332">
        <f>('Table S-1a'!AW$16*(K181/100))/H181</f>
        <v>0</v>
      </c>
      <c r="AA181" s="332">
        <f t="shared" si="55"/>
        <v>0.97272210982453611</v>
      </c>
      <c r="AB181" s="332">
        <f>('Table S-1a'!AX$16*(J181/100))/I181</f>
        <v>1.352324394028093E-2</v>
      </c>
      <c r="AC181" s="383">
        <f t="shared" si="56"/>
        <v>0.98647675605971907</v>
      </c>
    </row>
    <row r="182" spans="1:29">
      <c r="B182" s="346" t="s">
        <v>219</v>
      </c>
      <c r="D182" s="369">
        <v>-0.03</v>
      </c>
      <c r="E182" s="347">
        <v>0.08</v>
      </c>
      <c r="F182" s="348">
        <v>1.23</v>
      </c>
      <c r="G182" s="347">
        <v>0.11</v>
      </c>
      <c r="H182" s="349">
        <v>27.279394248443165</v>
      </c>
      <c r="I182" s="349">
        <v>134.07328769573155</v>
      </c>
      <c r="J182" s="370">
        <v>7.1900799052824738</v>
      </c>
      <c r="L182" s="330">
        <f t="shared" si="57"/>
        <v>26.502865618672658</v>
      </c>
      <c r="M182" s="316">
        <f>(D182-(Y182*'Table S-1a'!$AV$17)-('Table S-1a'!$AW$17*Z182))/AA182</f>
        <v>-2.2089054328890436E-2</v>
      </c>
      <c r="N182" s="316">
        <f>$E182*(M182-'Table S-1a'!$AV$17)/($D182-'Table S-1a'!$AV$17)*(1/AA182)</f>
        <v>8.4756646061794685E-2</v>
      </c>
      <c r="O182" s="331">
        <f t="shared" si="58"/>
        <v>133.21766818700294</v>
      </c>
      <c r="P182" s="316">
        <f>(F182-(AB182*'Table S-1a'!$AX$17))/AC182</f>
        <v>1.2378999430785629</v>
      </c>
      <c r="Q182" s="316">
        <f>$G182*(P182-'Table S-1a'!$AX$17)/($F182-'Table S-1a'!$AX$17)*(1/AC182)</f>
        <v>0.11141753559265649</v>
      </c>
      <c r="R182" s="315">
        <f>(H182/(J182*10000)*1000000)/'Table S-1a'!$AX$16</f>
        <v>31.882623023612769</v>
      </c>
      <c r="S182" s="315">
        <f>(I182/(J182*10000)*1000000)/'Table S-1a'!$AV$16</f>
        <v>172.65723703626372</v>
      </c>
      <c r="T182" s="377">
        <f t="shared" si="54"/>
        <v>5.415402519058456</v>
      </c>
      <c r="U182" s="373"/>
      <c r="V182" s="330">
        <f t="shared" si="59"/>
        <v>3.7940321398099193</v>
      </c>
      <c r="W182" s="377">
        <f t="shared" si="60"/>
        <v>18.646981599916487</v>
      </c>
      <c r="Y182" s="332">
        <f>('Table S-1a'!AV$16*(J182/100))/H182</f>
        <v>2.8465757805997607E-2</v>
      </c>
      <c r="Z182" s="332">
        <f>('Table S-1a'!AW$16*(K182/100))/H182</f>
        <v>0</v>
      </c>
      <c r="AA182" s="332">
        <f t="shared" si="55"/>
        <v>0.97153424219400242</v>
      </c>
      <c r="AB182" s="332">
        <f>('Table S-1a'!AX$16*(J182/100))/I182</f>
        <v>6.3817298988771975E-3</v>
      </c>
      <c r="AC182" s="383">
        <f t="shared" si="56"/>
        <v>0.9936182701011228</v>
      </c>
    </row>
    <row r="183" spans="1:29">
      <c r="B183" s="346" t="s">
        <v>220</v>
      </c>
      <c r="D183" s="369">
        <v>-0.11</v>
      </c>
      <c r="E183" s="347">
        <v>0.08</v>
      </c>
      <c r="F183" s="348">
        <v>1.74</v>
      </c>
      <c r="G183" s="347">
        <v>0.11</v>
      </c>
      <c r="H183" s="349">
        <v>25.500947986472497</v>
      </c>
      <c r="I183" s="349">
        <v>114.79575438828228</v>
      </c>
      <c r="J183" s="370">
        <v>6.7961451516285525</v>
      </c>
      <c r="L183" s="330">
        <f t="shared" si="57"/>
        <v>24.766964310096611</v>
      </c>
      <c r="M183" s="316">
        <f>(D183-(Y183*'Table S-1a'!$AV$17)-('Table S-1a'!$AW$17*Z183))/AA183</f>
        <v>-0.10436923731284393</v>
      </c>
      <c r="N183" s="316">
        <f>$E183*(M183-'Table S-1a'!$AV$17)/($D183-'Table S-1a'!$AV$17)*(1/AA183)</f>
        <v>8.4811956364672314E-2</v>
      </c>
      <c r="O183" s="331">
        <f t="shared" si="58"/>
        <v>113.98701311523847</v>
      </c>
      <c r="P183" s="316">
        <f>(F183-(AB183*'Table S-1a'!$AX$17))/AC183</f>
        <v>1.7523453521294883</v>
      </c>
      <c r="Q183" s="316">
        <f>$G183*(P183-'Table S-1a'!$AX$17)/($F183-'Table S-1a'!$AX$17)*(1/AC183)</f>
        <v>0.11156644393059859</v>
      </c>
      <c r="R183" s="315">
        <f>(H183/(J183*10000)*1000000)/'Table S-1a'!$AX$16</f>
        <v>31.531651513835232</v>
      </c>
      <c r="S183" s="315">
        <f>(I183/(J183*10000)*1000000)/'Table S-1a'!$AV$16</f>
        <v>156.40096378586722</v>
      </c>
      <c r="T183" s="377">
        <f t="shared" si="54"/>
        <v>4.9601259774561042</v>
      </c>
      <c r="U183" s="373"/>
      <c r="V183" s="330">
        <f t="shared" si="59"/>
        <v>3.7522665301463922</v>
      </c>
      <c r="W183" s="377">
        <f t="shared" si="60"/>
        <v>16.89130408887366</v>
      </c>
      <c r="Y183" s="332">
        <f>('Table S-1a'!AV$16*(J183/100))/H183</f>
        <v>2.8782603563022067E-2</v>
      </c>
      <c r="Z183" s="332">
        <f>('Table S-1a'!AW$16*(K183/100))/H183</f>
        <v>0</v>
      </c>
      <c r="AA183" s="332">
        <f t="shared" si="55"/>
        <v>0.97121739643697791</v>
      </c>
      <c r="AB183" s="332">
        <f>('Table S-1a'!AX$16*(J183/100))/I183</f>
        <v>7.0450451530492285E-3</v>
      </c>
      <c r="AC183" s="383">
        <f t="shared" si="56"/>
        <v>0.99295495484695073</v>
      </c>
    </row>
    <row r="184" spans="1:29">
      <c r="B184" s="346" t="s">
        <v>221</v>
      </c>
      <c r="D184" s="369">
        <v>-0.11</v>
      </c>
      <c r="E184" s="347">
        <v>0.08</v>
      </c>
      <c r="F184" s="348">
        <v>2.04</v>
      </c>
      <c r="G184" s="347">
        <v>0.11</v>
      </c>
      <c r="H184" s="349">
        <v>20.302869704998582</v>
      </c>
      <c r="I184" s="349">
        <v>111.01344201393802</v>
      </c>
      <c r="J184" s="370">
        <v>7.4113510146803199</v>
      </c>
      <c r="L184" s="330">
        <f t="shared" si="57"/>
        <v>19.502443795413107</v>
      </c>
      <c r="M184" s="316">
        <f>(D184-(Y184*'Table S-1a'!$AV$17)-('Table S-1a'!$AW$17*Z184))/AA184</f>
        <v>-0.10220195558994463</v>
      </c>
      <c r="N184" s="316">
        <f>$E184*(M184-'Table S-1a'!$AV$17)/($D184-'Table S-1a'!$AV$17)*(1/AA184)</f>
        <v>8.6701532127295797E-2</v>
      </c>
      <c r="O184" s="331">
        <f t="shared" si="58"/>
        <v>110.13149124319106</v>
      </c>
      <c r="P184" s="316">
        <f>(F184-(AB184*'Table S-1a'!$AX$17))/AC184</f>
        <v>2.0563366495088209</v>
      </c>
      <c r="Q184" s="316">
        <f>$G184*(P184-'Table S-1a'!$AX$17)/($F184-'Table S-1a'!$AX$17)*(1/AC184)</f>
        <v>0.11176884990687427</v>
      </c>
      <c r="R184" s="315">
        <f>(H184/(J184*10000)*1000000)/'Table S-1a'!$AX$16</f>
        <v>23.020411544970134</v>
      </c>
      <c r="S184" s="315">
        <f>(I184/(J184*10000)*1000000)/'Table S-1a'!$AV$16</f>
        <v>138.69296418881513</v>
      </c>
      <c r="T184" s="377">
        <f t="shared" si="54"/>
        <v>6.0247821337980803</v>
      </c>
      <c r="U184" s="373"/>
      <c r="V184" s="330">
        <f t="shared" si="59"/>
        <v>2.7394289738514459</v>
      </c>
      <c r="W184" s="377">
        <f t="shared" si="60"/>
        <v>14.978840132392037</v>
      </c>
      <c r="Y184" s="332">
        <f>('Table S-1a'!AV$16*(J184/100))/H184</f>
        <v>3.9424274559000355E-2</v>
      </c>
      <c r="Z184" s="332">
        <f>('Table S-1a'!AW$16*(K184/100))/H184</f>
        <v>0</v>
      </c>
      <c r="AA184" s="332">
        <f t="shared" si="55"/>
        <v>0.96057572544099967</v>
      </c>
      <c r="AB184" s="332">
        <f>('Table S-1a'!AX$16*(J184/100))/I184</f>
        <v>7.9445403614836745E-3</v>
      </c>
      <c r="AC184" s="383">
        <f t="shared" si="56"/>
        <v>0.99205545963851638</v>
      </c>
    </row>
    <row r="185" spans="1:29">
      <c r="B185" s="346" t="s">
        <v>222</v>
      </c>
      <c r="D185" s="369">
        <v>0.27</v>
      </c>
      <c r="E185" s="347">
        <v>0.08</v>
      </c>
      <c r="F185" s="348">
        <v>0.98</v>
      </c>
      <c r="G185" s="347">
        <v>0.11</v>
      </c>
      <c r="H185" s="349">
        <v>37.658722080915716</v>
      </c>
      <c r="I185" s="349">
        <v>151.79878293134192</v>
      </c>
      <c r="J185" s="370">
        <v>7.3446607607094316</v>
      </c>
      <c r="L185" s="330">
        <f t="shared" si="57"/>
        <v>36.865498718759099</v>
      </c>
      <c r="M185" s="316">
        <f>(D185-(Y185*'Table S-1a'!$AV$17)-('Table S-1a'!$AW$17*Z185))/AA185</f>
        <v>0.28226451105079459</v>
      </c>
      <c r="N185" s="316">
        <f>$E185*(M185-'Table S-1a'!$AV$17)/($D185-'Table S-1a'!$AV$17)*(1/AA185)</f>
        <v>8.3479707190943872E-2</v>
      </c>
      <c r="O185" s="331">
        <f t="shared" si="58"/>
        <v>150.9247683008175</v>
      </c>
      <c r="P185" s="316">
        <f>(F185-(AB185*'Table S-1a'!$AX$17))/AC185</f>
        <v>0.98567524037013399</v>
      </c>
      <c r="Q185" s="316">
        <f>$G185*(P185-'Table S-1a'!$AX$17)/($F185-'Table S-1a'!$AX$17)*(1/AC185)</f>
        <v>0.1112777225558719</v>
      </c>
      <c r="R185" s="315">
        <f>(H185/(J185*10000)*1000000)/'Table S-1a'!$AX$16</f>
        <v>43.0870614354818</v>
      </c>
      <c r="S185" s="315">
        <f>(I185/(J185*10000)*1000000)/'Table S-1a'!$AV$16</f>
        <v>191.36953117294831</v>
      </c>
      <c r="T185" s="377">
        <f t="shared" si="54"/>
        <v>4.4414616545503671</v>
      </c>
      <c r="U185" s="373"/>
      <c r="V185" s="330">
        <f t="shared" si="59"/>
        <v>5.1273603108223345</v>
      </c>
      <c r="W185" s="377">
        <f t="shared" si="60"/>
        <v>20.667909366678423</v>
      </c>
      <c r="Y185" s="332">
        <f>('Table S-1a'!AV$16*(J185/100))/H185</f>
        <v>2.1063469983188834E-2</v>
      </c>
      <c r="Z185" s="332">
        <f>('Table S-1a'!AW$16*(K185/100))/H185</f>
        <v>0</v>
      </c>
      <c r="AA185" s="332">
        <f t="shared" ref="AA185" si="61">1-(Y185+Z185)</f>
        <v>0.97893653001681114</v>
      </c>
      <c r="AB185" s="332">
        <f>('Table S-1a'!AX$16*(J185/100))/I185</f>
        <v>5.7577183008096734E-3</v>
      </c>
      <c r="AC185" s="383">
        <f t="shared" si="56"/>
        <v>0.99424228169919038</v>
      </c>
    </row>
    <row r="189" spans="1:29" s="397" customFormat="1" ht="13.8">
      <c r="A189" s="396" t="s">
        <v>245</v>
      </c>
    </row>
    <row r="190" spans="1:29" s="397" customFormat="1" ht="13.8">
      <c r="A190" s="396" t="s">
        <v>237</v>
      </c>
    </row>
    <row r="191" spans="1:29" s="397" customFormat="1" ht="13.8">
      <c r="A191" s="398" t="s">
        <v>238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S-1a</vt:lpstr>
      <vt:lpstr>Table S-1b</vt:lpstr>
      <vt:lpstr>Table S-1c</vt:lpstr>
    </vt:vector>
  </TitlesOfParts>
  <Company>ETH Zurich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Alice Williams</cp:lastModifiedBy>
  <cp:lastPrinted>2013-12-11T15:49:43Z</cp:lastPrinted>
  <dcterms:created xsi:type="dcterms:W3CDTF">2013-03-26T12:51:40Z</dcterms:created>
  <dcterms:modified xsi:type="dcterms:W3CDTF">2020-09-02T08:05:25Z</dcterms:modified>
</cp:coreProperties>
</file>