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miozzi-ferrini/Dropbox/backup important files/PostDoc_Milano/Redox sensor/Proofs/"/>
    </mc:Choice>
  </mc:AlternateContent>
  <xr:revisionPtr revIDLastSave="0" documentId="13_ncr:1_{9A2967E7-3027-F444-AAE5-8A1C1EF8439E}" xr6:coauthVersionLast="46" xr6:coauthVersionMax="46" xr10:uidLastSave="{00000000-0000-0000-0000-000000000000}"/>
  <bookViews>
    <workbookView xWindow="7660" yWindow="460" windowWidth="21140" windowHeight="15780" tabRatio="500" xr2:uid="{00000000-000D-0000-FFFF-FFFF00000000}"/>
  </bookViews>
  <sheets>
    <sheet name="Fugacity calculator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  <c r="B21" i="1" s="1"/>
  <c r="B24" i="1"/>
  <c r="C31" i="1"/>
  <c r="B63" i="1" s="1"/>
  <c r="D31" i="1"/>
  <c r="B64" i="1" s="1"/>
  <c r="F14" i="1"/>
  <c r="E21" i="1"/>
  <c r="C54" i="1"/>
  <c r="C57" i="1"/>
  <c r="C58" i="1"/>
  <c r="C60" i="1"/>
  <c r="C61" i="1"/>
  <c r="B54" i="1"/>
  <c r="B57" i="1"/>
  <c r="B58" i="1"/>
  <c r="B60" i="1"/>
  <c r="B61" i="1"/>
  <c r="C38" i="1"/>
  <c r="I65" i="1"/>
  <c r="D38" i="1"/>
  <c r="I66" i="1" s="1"/>
  <c r="J55" i="1"/>
  <c r="J58" i="1"/>
  <c r="J59" i="1"/>
  <c r="J61" i="1"/>
  <c r="J62" i="1"/>
  <c r="C39" i="1"/>
  <c r="C40" i="1" s="1"/>
  <c r="D39" i="1"/>
  <c r="D40" i="1" s="1"/>
  <c r="I55" i="1"/>
  <c r="I58" i="1"/>
  <c r="I59" i="1"/>
  <c r="I61" i="1"/>
  <c r="I62" i="1"/>
  <c r="Y58" i="1"/>
  <c r="X58" i="1"/>
  <c r="V58" i="1"/>
  <c r="U58" i="1"/>
  <c r="S58" i="1"/>
  <c r="R58" i="1"/>
  <c r="P58" i="1"/>
  <c r="O58" i="1"/>
  <c r="Y57" i="1"/>
  <c r="X57" i="1"/>
  <c r="V57" i="1"/>
  <c r="U57" i="1"/>
  <c r="S57" i="1"/>
  <c r="R57" i="1"/>
  <c r="P57" i="1"/>
  <c r="O57" i="1"/>
  <c r="Y56" i="1"/>
  <c r="X56" i="1"/>
  <c r="V56" i="1"/>
  <c r="U56" i="1"/>
  <c r="S56" i="1"/>
  <c r="R56" i="1"/>
  <c r="P56" i="1"/>
  <c r="O56" i="1"/>
  <c r="S55" i="1"/>
  <c r="P55" i="1"/>
  <c r="Y54" i="1"/>
  <c r="X54" i="1"/>
  <c r="V54" i="1"/>
  <c r="U54" i="1"/>
  <c r="S54" i="1"/>
  <c r="R54" i="1"/>
  <c r="P54" i="1"/>
  <c r="O54" i="1"/>
  <c r="Y53" i="1"/>
  <c r="X53" i="1"/>
  <c r="V53" i="1"/>
  <c r="U53" i="1"/>
  <c r="S53" i="1"/>
  <c r="R53" i="1"/>
  <c r="P53" i="1"/>
  <c r="O53" i="1"/>
  <c r="Y52" i="1"/>
  <c r="V52" i="1"/>
  <c r="S52" i="1"/>
  <c r="P52" i="1"/>
  <c r="S51" i="1"/>
  <c r="P51" i="1"/>
  <c r="D20" i="1" l="1"/>
  <c r="D21" i="1" s="1"/>
  <c r="B33" i="1" s="1"/>
  <c r="B38" i="1"/>
  <c r="B31" i="1"/>
  <c r="D32" i="1"/>
  <c r="D33" i="1" s="1"/>
  <c r="C32" i="1"/>
  <c r="C33" i="1" s="1"/>
  <c r="B65" i="1" l="1"/>
  <c r="F33" i="1" s="1"/>
  <c r="B32" i="1"/>
  <c r="B40" i="1"/>
  <c r="I67" i="1"/>
  <c r="F38" i="1" s="1"/>
  <c r="E38" i="1"/>
  <c r="B39" i="1"/>
  <c r="E31" i="1" l="1"/>
  <c r="F40" i="1"/>
  <c r="E40" i="1"/>
  <c r="F32" i="1"/>
  <c r="E32" i="1"/>
  <c r="E39" i="1"/>
  <c r="E41" i="1" s="1"/>
  <c r="D23" i="1" s="1"/>
  <c r="D25" i="1" s="1"/>
  <c r="F39" i="1"/>
  <c r="F41" i="1" s="1"/>
  <c r="F31" i="1"/>
  <c r="B23" i="1"/>
  <c r="B25" i="1" s="1"/>
  <c r="E33" i="1"/>
  <c r="E34" i="1" l="1"/>
  <c r="F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Office 2004 Test Drive User</author>
  </authors>
  <commentList>
    <comment ref="C14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add uncertainty on fluid component measurement</t>
        </r>
      </text>
    </comment>
  </commentList>
</comments>
</file>

<file path=xl/sharedStrings.xml><?xml version="1.0" encoding="utf-8"?>
<sst xmlns="http://schemas.openxmlformats.org/spreadsheetml/2006/main" count="100" uniqueCount="65">
  <si>
    <t>GRAPHITE SATURATED FLUIDS. FORMULA TO RETRIEVE fO2 FROM XCO2, P AND T</t>
  </si>
  <si>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CO2</t>
    </r>
  </si>
  <si>
    <t>P</t>
  </si>
  <si>
    <t>T</t>
  </si>
  <si>
    <t>fO2</t>
  </si>
  <si>
    <t>deltafO2</t>
  </si>
  <si>
    <t>Constants</t>
  </si>
  <si>
    <t>graphite_fO2</t>
  </si>
  <si>
    <t>graphite_DeltaFMQ</t>
  </si>
  <si>
    <t>P^2</t>
  </si>
  <si>
    <t>a</t>
  </si>
  <si>
    <t>T^2</t>
  </si>
  <si>
    <t>b</t>
  </si>
  <si>
    <t>XCO2^2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</si>
  <si>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</si>
  <si>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</si>
  <si>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</si>
  <si>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</si>
  <si>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</si>
  <si>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</si>
  <si>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</si>
  <si>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</si>
  <si>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</si>
  <si>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</si>
  <si>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o</t>
  </si>
  <si>
    <t>p</t>
  </si>
  <si>
    <t>q</t>
  </si>
  <si>
    <t>DISORDERED CARBON SATURATED FLUIDS. FORMULA TO RETRIEVE fO2 FROM XCO2, P, T</t>
  </si>
  <si>
    <t>glassy fO2</t>
  </si>
  <si>
    <t>esd</t>
  </si>
  <si>
    <t>graph_fO2</t>
  </si>
  <si>
    <t>graphite_deltaFMQ</t>
  </si>
  <si>
    <t>glassy_deltaFMQ</t>
  </si>
  <si>
    <t>glassy carbon_fO2</t>
  </si>
  <si>
    <t>glassy carbon_DeltaFMQ</t>
  </si>
  <si>
    <t>CO2</t>
  </si>
  <si>
    <t>CO2^2</t>
  </si>
  <si>
    <t>CO2*P^2</t>
  </si>
  <si>
    <t>P^2*T</t>
  </si>
  <si>
    <t>PT</t>
  </si>
  <si>
    <t>P*T^2</t>
  </si>
  <si>
    <t>CO2 P T</t>
  </si>
  <si>
    <t>CO2*T^2</t>
  </si>
  <si>
    <t>1/P</t>
  </si>
  <si>
    <t>1/CO2</t>
  </si>
  <si>
    <t>1/P^2</t>
  </si>
  <si>
    <t>±</t>
  </si>
  <si>
    <t>Outputs</t>
  </si>
  <si>
    <t>Inputs</t>
  </si>
  <si>
    <t>carbon form (write: graphite or glassy)</t>
  </si>
  <si>
    <t>ΔFMQ (log units)</t>
  </si>
  <si>
    <t>glassy</t>
  </si>
  <si>
    <r>
      <t>CO</t>
    </r>
    <r>
      <rPr>
        <b/>
        <vertAlign val="subscript"/>
        <sz val="24"/>
        <color theme="1"/>
        <rFont val="Arial"/>
        <family val="2"/>
      </rPr>
      <t>2</t>
    </r>
    <r>
      <rPr>
        <b/>
        <sz val="24"/>
        <color theme="1"/>
        <rFont val="Arial"/>
        <family val="2"/>
      </rPr>
      <t>-in-fluid oxybarometer</t>
    </r>
  </si>
  <si>
    <r>
      <t>based on CO</t>
    </r>
    <r>
      <rPr>
        <b/>
        <vertAlign val="subscript"/>
        <sz val="16"/>
        <color theme="1"/>
        <rFont val="Arial"/>
        <family val="2"/>
      </rPr>
      <t>2</t>
    </r>
    <r>
      <rPr>
        <b/>
        <sz val="16"/>
        <color theme="1"/>
        <rFont val="Arial"/>
        <family val="2"/>
      </rPr>
      <t xml:space="preserve"> content in aqueous fluids in equilibrium with graphitic carbon</t>
    </r>
  </si>
  <si>
    <r>
      <rPr>
        <i/>
        <sz val="20"/>
        <color theme="0"/>
        <rFont val="Arial"/>
        <family val="2"/>
      </rPr>
      <t>P</t>
    </r>
    <r>
      <rPr>
        <sz val="20"/>
        <color theme="0"/>
        <rFont val="Arial"/>
        <family val="2"/>
      </rPr>
      <t xml:space="preserve"> [kbar]</t>
    </r>
  </si>
  <si>
    <r>
      <rPr>
        <i/>
        <sz val="20"/>
        <color theme="0"/>
        <rFont val="Arial"/>
        <family val="2"/>
      </rPr>
      <t>T</t>
    </r>
    <r>
      <rPr>
        <sz val="20"/>
        <color theme="0"/>
        <rFont val="Arial"/>
        <family val="2"/>
      </rPr>
      <t xml:space="preserve"> [°C]</t>
    </r>
  </si>
  <si>
    <r>
      <t>CO</t>
    </r>
    <r>
      <rPr>
        <vertAlign val="subscript"/>
        <sz val="20"/>
        <color theme="0"/>
        <rFont val="Arial"/>
        <family val="2"/>
      </rPr>
      <t>2</t>
    </r>
    <r>
      <rPr>
        <sz val="20"/>
        <color theme="0"/>
        <rFont val="Arial"/>
        <family val="2"/>
      </rPr>
      <t xml:space="preserve"> mol</t>
    </r>
  </si>
  <si>
    <r>
      <t>H</t>
    </r>
    <r>
      <rPr>
        <vertAlign val="subscript"/>
        <sz val="20"/>
        <color theme="0"/>
        <rFont val="Arial"/>
        <family val="2"/>
      </rPr>
      <t>2</t>
    </r>
    <r>
      <rPr>
        <sz val="20"/>
        <color theme="0"/>
        <rFont val="Arial"/>
        <family val="2"/>
      </rPr>
      <t>O mol</t>
    </r>
  </si>
  <si>
    <r>
      <rPr>
        <i/>
        <sz val="20"/>
        <rFont val="Arial"/>
        <family val="2"/>
      </rPr>
      <t>X</t>
    </r>
    <r>
      <rPr>
        <sz val="20"/>
        <rFont val="Arial"/>
        <family val="2"/>
      </rPr>
      <t>CO</t>
    </r>
    <r>
      <rPr>
        <vertAlign val="subscript"/>
        <sz val="20"/>
        <rFont val="Arial"/>
        <family val="2"/>
      </rPr>
      <t>2</t>
    </r>
    <r>
      <rPr>
        <sz val="20"/>
        <rFont val="Arial"/>
        <family val="2"/>
      </rPr>
      <t xml:space="preserve"> molar</t>
    </r>
  </si>
  <si>
    <r>
      <t>CO</t>
    </r>
    <r>
      <rPr>
        <vertAlign val="subscript"/>
        <sz val="20"/>
        <rFont val="Arial"/>
        <family val="2"/>
      </rPr>
      <t>2</t>
    </r>
    <r>
      <rPr>
        <sz val="20"/>
        <rFont val="Arial"/>
        <family val="2"/>
      </rPr>
      <t xml:space="preserve"> mol%</t>
    </r>
  </si>
  <si>
    <r>
      <t>log (</t>
    </r>
    <r>
      <rPr>
        <i/>
        <sz val="20"/>
        <rFont val="Arial"/>
        <family val="2"/>
      </rPr>
      <t>f</t>
    </r>
    <r>
      <rPr>
        <sz val="20"/>
        <rFont val="Arial"/>
        <family val="2"/>
      </rPr>
      <t>O</t>
    </r>
    <r>
      <rPr>
        <vertAlign val="subscript"/>
        <sz val="20"/>
        <rFont val="Arial"/>
        <family val="2"/>
      </rPr>
      <t>2</t>
    </r>
    <r>
      <rPr>
        <sz val="20"/>
        <rFont val="Arial"/>
        <family val="2"/>
      </rPr>
      <t>/1 bar)</t>
    </r>
    <r>
      <rPr>
        <vertAlign val="superscript"/>
        <sz val="20"/>
        <rFont val="Arial"/>
        <family val="2"/>
      </rPr>
      <t>fluid</t>
    </r>
  </si>
  <si>
    <r>
      <t>log (</t>
    </r>
    <r>
      <rPr>
        <i/>
        <sz val="20"/>
        <rFont val="Arial"/>
        <family val="2"/>
      </rPr>
      <t>f</t>
    </r>
    <r>
      <rPr>
        <sz val="20"/>
        <rFont val="Arial"/>
        <family val="2"/>
      </rPr>
      <t>O</t>
    </r>
    <r>
      <rPr>
        <vertAlign val="subscript"/>
        <sz val="20"/>
        <rFont val="Arial"/>
        <family val="2"/>
      </rPr>
      <t>2</t>
    </r>
    <r>
      <rPr>
        <sz val="20"/>
        <rFont val="Arial"/>
        <family val="2"/>
      </rPr>
      <t>/1 bar)</t>
    </r>
    <r>
      <rPr>
        <vertAlign val="superscript"/>
        <sz val="20"/>
        <rFont val="Arial"/>
        <family val="2"/>
      </rPr>
      <t>FMQ</t>
    </r>
  </si>
  <si>
    <t xml:space="preserve">© 2020 The Authors 
</t>
  </si>
  <si>
    <t>Published by the European Association of Geochemistry under Creative Commons License CC-BY-NC-ND.</t>
  </si>
  <si>
    <r>
      <t xml:space="preserve">Miozzi and Tumiati </t>
    </r>
    <r>
      <rPr>
        <sz val="10"/>
        <color indexed="8"/>
        <rFont val="Calibri"/>
        <family val="2"/>
        <scheme val="minor"/>
      </rPr>
      <t xml:space="preserve">(2020) </t>
    </r>
    <r>
      <rPr>
        <i/>
        <sz val="10"/>
        <color indexed="8"/>
        <rFont val="Calibri"/>
        <family val="2"/>
        <scheme val="minor"/>
      </rPr>
      <t>Geochem. Persp. Let.</t>
    </r>
    <r>
      <rPr>
        <sz val="10"/>
        <color rgb="FF000000"/>
        <rFont val="Calibri"/>
        <family val="2"/>
        <scheme val="minor"/>
      </rPr>
      <t xml:space="preserve"> 16</t>
    </r>
    <r>
      <rPr>
        <sz val="10"/>
        <color indexed="8"/>
        <rFont val="Calibri"/>
        <family val="2"/>
        <scheme val="minor"/>
      </rPr>
      <t>, 30-34</t>
    </r>
    <r>
      <rPr>
        <sz val="10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  <scheme val="minor"/>
      </rPr>
      <t xml:space="preserve">| doi: 10.7185/geochemlet.2040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</si>
</sst>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0.0"/>
    <numFmt numFmtId="166" formatCode="0.0000"/>
    <numFmt numFmtId="167" formatCode="0.000000"/>
    <numFmt numFmtId="168" formatCode="0.00000"/>
    <numFmt numFmtId="169" formatCode="0.0000000"/>
    <numFmt numFmtId="170" formatCode="0.000000000"/>
    <numFmt numFmtId="171" formatCode="0.00000000"/>
    <numFmt numFmtId="172" formatCode="0.0000000000"/>
  </numFmts>
  <fonts count="31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indexed="81"/>
      <name val="Calibri"/>
      <family val="2"/>
    </font>
    <font>
      <b/>
      <sz val="24"/>
      <color theme="1"/>
      <name val="Arial"/>
      <family val="2"/>
    </font>
    <font>
      <b/>
      <vertAlign val="subscript"/>
      <sz val="24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vertAlign val="subscript"/>
      <sz val="16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sz val="20"/>
      <color theme="0"/>
      <name val="Arial"/>
      <family val="2"/>
    </font>
    <font>
      <i/>
      <sz val="20"/>
      <color theme="0"/>
      <name val="Arial"/>
      <family val="2"/>
    </font>
    <font>
      <vertAlign val="subscript"/>
      <sz val="20"/>
      <color theme="0"/>
      <name val="Arial"/>
      <family val="2"/>
    </font>
    <font>
      <sz val="18"/>
      <color rgb="FFFF0000"/>
      <name val="Arial"/>
      <family val="2"/>
    </font>
    <font>
      <sz val="20"/>
      <name val="Arial"/>
      <family val="2"/>
    </font>
    <font>
      <i/>
      <sz val="20"/>
      <name val="Arial"/>
      <family val="2"/>
    </font>
    <font>
      <vertAlign val="subscript"/>
      <sz val="20"/>
      <name val="Arial"/>
      <family val="2"/>
    </font>
    <font>
      <sz val="20"/>
      <color rgb="FFFF0000"/>
      <name val="Arial"/>
      <family val="2"/>
    </font>
    <font>
      <sz val="12"/>
      <name val="Arial"/>
      <family val="2"/>
    </font>
    <font>
      <vertAlign val="superscript"/>
      <sz val="2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000FF"/>
        <bgColor indexed="64"/>
      </patternFill>
    </fill>
    <fill>
      <patternFill patternType="solid">
        <fgColor rgb="FF10808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Border="1" applyAlignment="1"/>
    <xf numFmtId="0" fontId="0" fillId="0" borderId="0" xfId="0" applyBorder="1"/>
    <xf numFmtId="164" fontId="0" fillId="0" borderId="0" xfId="0" applyNumberFormat="1" applyBorder="1"/>
    <xf numFmtId="0" fontId="2" fillId="0" borderId="0" xfId="0" applyFont="1" applyBorder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0" fillId="0" borderId="0" xfId="0" applyNumberFormat="1"/>
    <xf numFmtId="0" fontId="3" fillId="0" borderId="0" xfId="0" applyFon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" fontId="0" fillId="0" borderId="0" xfId="0" applyNumberFormat="1"/>
    <xf numFmtId="164" fontId="4" fillId="0" borderId="0" xfId="0" applyNumberFormat="1" applyFont="1"/>
    <xf numFmtId="0" fontId="5" fillId="0" borderId="0" xfId="0" applyFont="1"/>
    <xf numFmtId="165" fontId="0" fillId="0" borderId="0" xfId="0" applyNumberFormat="1" applyBorder="1"/>
    <xf numFmtId="0" fontId="9" fillId="4" borderId="8" xfId="0" applyFont="1" applyFill="1" applyBorder="1" applyProtection="1">
      <protection hidden="1"/>
    </xf>
    <xf numFmtId="0" fontId="11" fillId="4" borderId="7" xfId="0" applyFont="1" applyFill="1" applyBorder="1" applyProtection="1">
      <protection hidden="1"/>
    </xf>
    <xf numFmtId="0" fontId="11" fillId="4" borderId="9" xfId="0" applyFont="1" applyFill="1" applyBorder="1" applyProtection="1">
      <protection hidden="1"/>
    </xf>
    <xf numFmtId="0" fontId="12" fillId="4" borderId="10" xfId="0" applyFont="1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0" fontId="14" fillId="4" borderId="11" xfId="0" applyFont="1" applyFill="1" applyBorder="1" applyProtection="1">
      <protection hidden="1"/>
    </xf>
    <xf numFmtId="0" fontId="12" fillId="8" borderId="10" xfId="0" applyFont="1" applyFill="1" applyBorder="1" applyProtection="1">
      <protection hidden="1"/>
    </xf>
    <xf numFmtId="0" fontId="14" fillId="8" borderId="0" xfId="0" applyFont="1" applyFill="1" applyBorder="1" applyProtection="1">
      <protection hidden="1"/>
    </xf>
    <xf numFmtId="0" fontId="14" fillId="8" borderId="11" xfId="0" applyFont="1" applyFill="1" applyBorder="1" applyProtection="1">
      <protection hidden="1"/>
    </xf>
    <xf numFmtId="0" fontId="15" fillId="10" borderId="10" xfId="0" applyFont="1" applyFill="1" applyBorder="1" applyProtection="1">
      <protection hidden="1"/>
    </xf>
    <xf numFmtId="0" fontId="14" fillId="10" borderId="0" xfId="0" applyFont="1" applyFill="1" applyBorder="1" applyProtection="1">
      <protection hidden="1"/>
    </xf>
    <xf numFmtId="0" fontId="14" fillId="10" borderId="11" xfId="0" applyFont="1" applyFill="1" applyBorder="1" applyProtection="1">
      <protection hidden="1"/>
    </xf>
    <xf numFmtId="0" fontId="11" fillId="9" borderId="10" xfId="0" applyFont="1" applyFill="1" applyBorder="1" applyProtection="1">
      <protection hidden="1"/>
    </xf>
    <xf numFmtId="0" fontId="11" fillId="9" borderId="0" xfId="0" applyFont="1" applyFill="1" applyBorder="1" applyProtection="1">
      <protection hidden="1"/>
    </xf>
    <xf numFmtId="0" fontId="11" fillId="9" borderId="11" xfId="0" applyFont="1" applyFill="1" applyBorder="1" applyProtection="1">
      <protection hidden="1"/>
    </xf>
    <xf numFmtId="0" fontId="16" fillId="2" borderId="12" xfId="0" applyFont="1" applyFill="1" applyBorder="1" applyAlignment="1" applyProtection="1">
      <alignment horizontal="center"/>
      <protection hidden="1"/>
    </xf>
    <xf numFmtId="0" fontId="15" fillId="8" borderId="2" xfId="0" applyFont="1" applyFill="1" applyBorder="1" applyProtection="1">
      <protection locked="0" hidden="1"/>
    </xf>
    <xf numFmtId="0" fontId="15" fillId="9" borderId="0" xfId="0" applyFont="1" applyFill="1" applyBorder="1" applyProtection="1">
      <protection hidden="1"/>
    </xf>
    <xf numFmtId="0" fontId="16" fillId="3" borderId="1" xfId="0" applyFont="1" applyFill="1" applyBorder="1" applyProtection="1">
      <protection hidden="1"/>
    </xf>
    <xf numFmtId="0" fontId="15" fillId="3" borderId="5" xfId="0" applyFont="1" applyFill="1" applyBorder="1" applyProtection="1">
      <protection hidden="1"/>
    </xf>
    <xf numFmtId="0" fontId="15" fillId="3" borderId="13" xfId="0" applyFont="1" applyFill="1" applyBorder="1" applyProtection="1">
      <protection hidden="1"/>
    </xf>
    <xf numFmtId="0" fontId="16" fillId="2" borderId="14" xfId="0" applyFont="1" applyFill="1" applyBorder="1" applyAlignment="1" applyProtection="1">
      <alignment horizontal="center"/>
      <protection hidden="1"/>
    </xf>
    <xf numFmtId="0" fontId="15" fillId="8" borderId="4" xfId="0" applyFont="1" applyFill="1" applyBorder="1" applyProtection="1">
      <protection locked="0" hidden="1"/>
    </xf>
    <xf numFmtId="0" fontId="15" fillId="9" borderId="11" xfId="0" applyFont="1" applyFill="1" applyBorder="1" applyProtection="1">
      <protection hidden="1"/>
    </xf>
    <xf numFmtId="0" fontId="16" fillId="5" borderId="12" xfId="0" applyFont="1" applyFill="1" applyBorder="1" applyAlignment="1" applyProtection="1">
      <alignment horizontal="center"/>
      <protection hidden="1"/>
    </xf>
    <xf numFmtId="0" fontId="15" fillId="8" borderId="5" xfId="0" applyFont="1" applyFill="1" applyBorder="1" applyProtection="1">
      <protection locked="0" hidden="1"/>
    </xf>
    <xf numFmtId="0" fontId="15" fillId="8" borderId="5" xfId="0" applyFont="1" applyFill="1" applyBorder="1" applyAlignment="1" applyProtection="1">
      <alignment horizontal="center" vertical="justify"/>
      <protection hidden="1"/>
    </xf>
    <xf numFmtId="0" fontId="16" fillId="5" borderId="14" xfId="0" applyFont="1" applyFill="1" applyBorder="1" applyAlignment="1" applyProtection="1">
      <alignment horizontal="center"/>
      <protection hidden="1"/>
    </xf>
    <xf numFmtId="0" fontId="15" fillId="8" borderId="6" xfId="0" applyFont="1" applyFill="1" applyBorder="1" applyProtection="1">
      <protection locked="0" hidden="1"/>
    </xf>
    <xf numFmtId="0" fontId="15" fillId="8" borderId="6" xfId="0" applyFont="1" applyFill="1" applyBorder="1" applyAlignment="1" applyProtection="1">
      <alignment horizontal="center" vertical="justify"/>
      <protection hidden="1"/>
    </xf>
    <xf numFmtId="0" fontId="11" fillId="8" borderId="10" xfId="0" applyFont="1" applyFill="1" applyBorder="1" applyProtection="1">
      <protection hidden="1"/>
    </xf>
    <xf numFmtId="0" fontId="15" fillId="8" borderId="0" xfId="0" applyFont="1" applyFill="1" applyBorder="1" applyProtection="1">
      <protection hidden="1"/>
    </xf>
    <xf numFmtId="0" fontId="15" fillId="8" borderId="11" xfId="0" applyFont="1" applyFill="1" applyBorder="1" applyProtection="1">
      <protection hidden="1"/>
    </xf>
    <xf numFmtId="0" fontId="15" fillId="6" borderId="10" xfId="0" applyFont="1" applyFill="1" applyBorder="1" applyProtection="1">
      <protection hidden="1"/>
    </xf>
    <xf numFmtId="0" fontId="15" fillId="6" borderId="0" xfId="0" applyFont="1" applyFill="1" applyBorder="1" applyProtection="1">
      <protection hidden="1"/>
    </xf>
    <xf numFmtId="0" fontId="15" fillId="6" borderId="11" xfId="0" applyFont="1" applyFill="1" applyBorder="1" applyProtection="1">
      <protection hidden="1"/>
    </xf>
    <xf numFmtId="0" fontId="11" fillId="7" borderId="10" xfId="0" applyFont="1" applyFill="1" applyBorder="1" applyProtection="1">
      <protection hidden="1"/>
    </xf>
    <xf numFmtId="0" fontId="15" fillId="7" borderId="0" xfId="0" applyFont="1" applyFill="1" applyBorder="1" applyProtection="1">
      <protection hidden="1"/>
    </xf>
    <xf numFmtId="0" fontId="15" fillId="7" borderId="11" xfId="0" applyFont="1" applyFill="1" applyBorder="1" applyProtection="1">
      <protection hidden="1"/>
    </xf>
    <xf numFmtId="0" fontId="20" fillId="7" borderId="10" xfId="0" applyFont="1" applyFill="1" applyBorder="1" applyAlignment="1" applyProtection="1">
      <alignment horizontal="center"/>
      <protection hidden="1"/>
    </xf>
    <xf numFmtId="164" fontId="15" fillId="7" borderId="0" xfId="0" applyNumberFormat="1" applyFont="1" applyFill="1" applyBorder="1" applyProtection="1">
      <protection hidden="1"/>
    </xf>
    <xf numFmtId="0" fontId="15" fillId="7" borderId="0" xfId="0" applyFont="1" applyFill="1" applyBorder="1" applyAlignment="1" applyProtection="1">
      <alignment horizontal="center" vertical="justify"/>
      <protection hidden="1"/>
    </xf>
    <xf numFmtId="165" fontId="15" fillId="7" borderId="0" xfId="0" applyNumberFormat="1" applyFont="1" applyFill="1" applyBorder="1" applyProtection="1">
      <protection hidden="1"/>
    </xf>
    <xf numFmtId="0" fontId="23" fillId="7" borderId="0" xfId="0" applyFont="1" applyFill="1" applyBorder="1" applyProtection="1">
      <protection hidden="1"/>
    </xf>
    <xf numFmtId="0" fontId="11" fillId="7" borderId="0" xfId="0" applyFont="1" applyFill="1" applyBorder="1" applyProtection="1">
      <protection hidden="1"/>
    </xf>
    <xf numFmtId="0" fontId="11" fillId="7" borderId="11" xfId="0" applyFont="1" applyFill="1" applyBorder="1" applyProtection="1">
      <protection hidden="1"/>
    </xf>
    <xf numFmtId="0" fontId="24" fillId="7" borderId="10" xfId="0" applyFont="1" applyFill="1" applyBorder="1" applyProtection="1">
      <protection hidden="1"/>
    </xf>
    <xf numFmtId="0" fontId="20" fillId="7" borderId="16" xfId="0" applyFont="1" applyFill="1" applyBorder="1" applyAlignment="1" applyProtection="1">
      <alignment horizontal="center"/>
      <protection hidden="1"/>
    </xf>
    <xf numFmtId="164" fontId="15" fillId="7" borderId="17" xfId="0" applyNumberFormat="1" applyFont="1" applyFill="1" applyBorder="1" applyProtection="1">
      <protection hidden="1"/>
    </xf>
    <xf numFmtId="0" fontId="15" fillId="7" borderId="17" xfId="0" applyFont="1" applyFill="1" applyBorder="1" applyAlignment="1" applyProtection="1">
      <alignment horizontal="center" vertical="justify"/>
      <protection hidden="1"/>
    </xf>
    <xf numFmtId="165" fontId="15" fillId="7" borderId="17" xfId="0" applyNumberFormat="1" applyFont="1" applyFill="1" applyBorder="1" applyProtection="1">
      <protection hidden="1"/>
    </xf>
    <xf numFmtId="0" fontId="11" fillId="7" borderId="17" xfId="0" applyFont="1" applyFill="1" applyBorder="1" applyProtection="1">
      <protection hidden="1"/>
    </xf>
    <xf numFmtId="0" fontId="11" fillId="7" borderId="18" xfId="0" applyFont="1" applyFill="1" applyBorder="1" applyProtection="1">
      <protection hidden="1"/>
    </xf>
    <xf numFmtId="0" fontId="26" fillId="0" borderId="0" xfId="0" applyFont="1" applyAlignment="1">
      <alignment vertical="top"/>
    </xf>
    <xf numFmtId="0" fontId="26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5" fillId="0" borderId="3" xfId="0" applyFont="1" applyBorder="1" applyAlignment="1" applyProtection="1">
      <protection locked="0" hidden="1"/>
    </xf>
    <xf numFmtId="0" fontId="15" fillId="0" borderId="6" xfId="0" applyFont="1" applyBorder="1" applyAlignment="1" applyProtection="1">
      <protection locked="0" hidden="1"/>
    </xf>
    <xf numFmtId="0" fontId="15" fillId="0" borderId="15" xfId="0" applyFont="1" applyBorder="1" applyAlignment="1" applyProtection="1">
      <protection locked="0" hidden="1"/>
    </xf>
    <xf numFmtId="0" fontId="19" fillId="9" borderId="0" xfId="0" applyFont="1" applyFill="1" applyBorder="1" applyAlignment="1" applyProtection="1">
      <alignment horizontal="justify" vertical="justify"/>
      <protection hidden="1"/>
    </xf>
    <xf numFmtId="0" fontId="19" fillId="0" borderId="0" xfId="0" applyFont="1" applyAlignment="1" applyProtection="1">
      <alignment horizontal="justify" vertical="justify"/>
      <protection hidden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342175</xdr:colOff>
      <xdr:row>4</xdr:row>
      <xdr:rowOff>76782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BC4522-614E-2342-96BE-D667789CE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74175" cy="889582"/>
        </a:xfrm>
        <a:prstGeom prst="rect">
          <a:avLst/>
        </a:prstGeom>
      </xdr:spPr>
    </xdr:pic>
    <xdr:clientData/>
  </xdr:twoCellAnchor>
  <xdr:twoCellAnchor>
    <xdr:from>
      <xdr:col>1</xdr:col>
      <xdr:colOff>711201</xdr:colOff>
      <xdr:row>0</xdr:row>
      <xdr:rowOff>76200</xdr:rowOff>
    </xdr:from>
    <xdr:to>
      <xdr:col>8</xdr:col>
      <xdr:colOff>1</xdr:colOff>
      <xdr:row>3</xdr:row>
      <xdr:rowOff>178333</xdr:rowOff>
    </xdr:to>
    <xdr:sp macro="" textlink="">
      <xdr:nvSpPr>
        <xdr:cNvPr id="5" name="ZoneTexte 3">
          <a:extLst>
            <a:ext uri="{FF2B5EF4-FFF2-40B4-BE49-F238E27FC236}">
              <a16:creationId xmlns:a16="http://schemas.microsoft.com/office/drawing/2014/main" id="{016378BD-8A17-6745-8A00-1BBD3C14A7C5}"/>
            </a:ext>
          </a:extLst>
        </xdr:cNvPr>
        <xdr:cNvSpPr txBox="1">
          <a:spLocks noChangeArrowheads="1"/>
        </xdr:cNvSpPr>
      </xdr:nvSpPr>
      <xdr:spPr bwMode="auto">
        <a:xfrm>
          <a:off x="2743201" y="76200"/>
          <a:ext cx="5156200" cy="711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spcAft>
              <a:spcPct val="0"/>
            </a:spcAft>
            <a:buSzPct val="45000"/>
            <a:buNone/>
          </a:pPr>
          <a:r>
            <a:rPr lang="en-US" alt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Miozzi and Tumiati</a:t>
          </a:r>
        </a:p>
        <a:p>
          <a:pPr algn="r">
            <a:spcAft>
              <a:spcPct val="0"/>
            </a:spcAft>
            <a:buSzPct val="45000"/>
            <a:buNone/>
          </a:pPr>
          <a:r>
            <a:rPr lang="en-US" alt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Aqueous</a:t>
          </a:r>
          <a:r>
            <a:rPr lang="en-US" altLang="en-US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concentration of CO</a:t>
          </a:r>
          <a:r>
            <a:rPr lang="en-US" altLang="en-US" sz="1400" b="1" baseline="-25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US" altLang="en-US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in carbon-saturated fluids as a highly sensitive oxybarometer</a:t>
          </a:r>
          <a:endParaRPr lang="en-US" altLang="en-US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Y71"/>
  <sheetViews>
    <sheetView tabSelected="1" zoomScale="119" zoomScaleNormal="111" zoomScalePageLayoutView="111" workbookViewId="0">
      <pane ySplit="7" topLeftCell="A23" activePane="bottomLeft" state="frozen"/>
      <selection pane="bottomLeft" activeCell="A69" sqref="A69"/>
    </sheetView>
  </sheetViews>
  <sheetFormatPr baseColWidth="10" defaultRowHeight="16" x14ac:dyDescent="0.2"/>
  <cols>
    <col min="1" max="1" width="26.6640625" customWidth="1"/>
    <col min="2" max="2" width="13.6640625" customWidth="1"/>
    <col min="3" max="3" width="5.5" customWidth="1"/>
    <col min="4" max="4" width="9.83203125" customWidth="1"/>
    <col min="8" max="8" width="15.5" customWidth="1"/>
    <col min="10" max="10" width="12" bestFit="1" customWidth="1"/>
    <col min="11" max="11" width="15.6640625" customWidth="1"/>
    <col min="12" max="12" width="17.5" customWidth="1"/>
    <col min="17" max="17" width="12.6640625" bestFit="1" customWidth="1"/>
    <col min="18" max="18" width="13" bestFit="1" customWidth="1"/>
    <col min="20" max="21" width="12.6640625" bestFit="1" customWidth="1"/>
    <col min="23" max="23" width="17.6640625" customWidth="1"/>
    <col min="24" max="24" width="12.83203125" bestFit="1" customWidth="1"/>
    <col min="26" max="26" width="16.6640625" customWidth="1"/>
    <col min="27" max="27" width="13.1640625" bestFit="1" customWidth="1"/>
  </cols>
  <sheetData>
    <row r="6" spans="1:14" ht="38" customHeight="1" x14ac:dyDescent="0.4">
      <c r="A6" s="20" t="s">
        <v>52</v>
      </c>
      <c r="B6" s="21"/>
      <c r="C6" s="21"/>
      <c r="D6" s="21"/>
      <c r="E6" s="21"/>
      <c r="F6" s="21"/>
      <c r="G6" s="21"/>
      <c r="H6" s="22"/>
    </row>
    <row r="7" spans="1:14" s="18" customFormat="1" ht="25" customHeight="1" x14ac:dyDescent="0.3">
      <c r="A7" s="23" t="s">
        <v>53</v>
      </c>
      <c r="B7" s="24"/>
      <c r="C7" s="24"/>
      <c r="D7" s="24"/>
      <c r="E7" s="24"/>
      <c r="F7" s="24"/>
      <c r="G7" s="24"/>
      <c r="H7" s="25"/>
    </row>
    <row r="8" spans="1:14" s="18" customFormat="1" ht="25" customHeight="1" x14ac:dyDescent="0.25">
      <c r="A8" s="26"/>
      <c r="B8" s="27"/>
      <c r="C8" s="27"/>
      <c r="D8" s="27"/>
      <c r="E8" s="27"/>
      <c r="F8" s="27"/>
      <c r="G8" s="27"/>
      <c r="H8" s="28"/>
    </row>
    <row r="9" spans="1:14" s="18" customFormat="1" ht="25" customHeight="1" x14ac:dyDescent="0.25">
      <c r="A9" s="29" t="s">
        <v>48</v>
      </c>
      <c r="B9" s="30"/>
      <c r="C9" s="30"/>
      <c r="D9" s="30"/>
      <c r="E9" s="30"/>
      <c r="F9" s="30"/>
      <c r="G9" s="30"/>
      <c r="H9" s="31"/>
    </row>
    <row r="10" spans="1:14" ht="17" thickBot="1" x14ac:dyDescent="0.25">
      <c r="A10" s="32"/>
      <c r="B10" s="33"/>
      <c r="C10" s="33"/>
      <c r="D10" s="33"/>
      <c r="E10" s="33"/>
      <c r="F10" s="33"/>
      <c r="G10" s="33"/>
      <c r="H10" s="34"/>
      <c r="I10" s="2"/>
      <c r="J10" s="2"/>
      <c r="K10" s="2"/>
      <c r="L10" s="2"/>
      <c r="M10" s="2"/>
      <c r="N10" s="2"/>
    </row>
    <row r="11" spans="1:14" ht="25" customHeight="1" x14ac:dyDescent="0.25">
      <c r="A11" s="35" t="s">
        <v>54</v>
      </c>
      <c r="B11" s="36">
        <v>10</v>
      </c>
      <c r="C11" s="37"/>
      <c r="D11" s="38" t="s">
        <v>49</v>
      </c>
      <c r="E11" s="39"/>
      <c r="F11" s="39"/>
      <c r="G11" s="39"/>
      <c r="H11" s="40"/>
      <c r="I11" s="2"/>
      <c r="J11" s="2"/>
      <c r="K11" s="2"/>
      <c r="L11" s="2"/>
      <c r="M11" s="2"/>
      <c r="N11" s="2"/>
    </row>
    <row r="12" spans="1:14" ht="30" customHeight="1" thickBot="1" x14ac:dyDescent="0.3">
      <c r="A12" s="41" t="s">
        <v>55</v>
      </c>
      <c r="B12" s="42">
        <v>800</v>
      </c>
      <c r="C12" s="37"/>
      <c r="D12" s="77" t="s">
        <v>51</v>
      </c>
      <c r="E12" s="78"/>
      <c r="F12" s="78"/>
      <c r="G12" s="78"/>
      <c r="H12" s="79"/>
      <c r="I12" s="2"/>
      <c r="J12" s="2"/>
      <c r="K12" s="2"/>
      <c r="L12" s="2"/>
      <c r="M12" s="2"/>
      <c r="N12" s="2"/>
    </row>
    <row r="13" spans="1:14" ht="26" thickBot="1" x14ac:dyDescent="0.3">
      <c r="A13" s="32"/>
      <c r="B13" s="37"/>
      <c r="C13" s="37"/>
      <c r="D13" s="37"/>
      <c r="E13" s="37"/>
      <c r="F13" s="37"/>
      <c r="G13" s="37"/>
      <c r="H13" s="43"/>
      <c r="I13" s="2"/>
      <c r="J13" s="2"/>
      <c r="K13" s="2"/>
      <c r="L13" s="2"/>
      <c r="M13" s="2"/>
      <c r="N13" s="2"/>
    </row>
    <row r="14" spans="1:14" ht="31" x14ac:dyDescent="0.4">
      <c r="A14" s="44" t="s">
        <v>56</v>
      </c>
      <c r="B14" s="45">
        <v>20</v>
      </c>
      <c r="C14" s="46" t="s">
        <v>46</v>
      </c>
      <c r="D14" s="36">
        <v>0.3</v>
      </c>
      <c r="E14" s="37"/>
      <c r="F14" s="80" t="str">
        <f>IF((B11-19.4-0.025*B12)&lt;0,"","WARNING! diamond stable")</f>
        <v/>
      </c>
      <c r="G14" s="81"/>
      <c r="H14" s="43"/>
      <c r="I14" s="2"/>
      <c r="J14" s="2"/>
      <c r="K14" s="2"/>
      <c r="L14" s="2"/>
      <c r="M14" s="2"/>
      <c r="N14" s="2"/>
    </row>
    <row r="15" spans="1:14" ht="32" thickBot="1" x14ac:dyDescent="0.45">
      <c r="A15" s="47" t="s">
        <v>57</v>
      </c>
      <c r="B15" s="48">
        <v>70</v>
      </c>
      <c r="C15" s="49" t="s">
        <v>46</v>
      </c>
      <c r="D15" s="42">
        <v>0.7</v>
      </c>
      <c r="E15" s="37"/>
      <c r="F15" s="81"/>
      <c r="G15" s="81"/>
      <c r="H15" s="43"/>
      <c r="I15" s="2"/>
      <c r="J15" s="2"/>
      <c r="K15" s="2"/>
      <c r="L15" s="2"/>
      <c r="M15" s="2"/>
      <c r="N15" s="2"/>
    </row>
    <row r="16" spans="1:14" ht="25" x14ac:dyDescent="0.25">
      <c r="A16" s="32"/>
      <c r="B16" s="37"/>
      <c r="C16" s="37"/>
      <c r="D16" s="37"/>
      <c r="E16" s="37"/>
      <c r="F16" s="37"/>
      <c r="G16" s="37"/>
      <c r="H16" s="43"/>
    </row>
    <row r="17" spans="1:8" ht="25" x14ac:dyDescent="0.25">
      <c r="A17" s="50"/>
      <c r="B17" s="51"/>
      <c r="C17" s="51"/>
      <c r="D17" s="51"/>
      <c r="E17" s="51"/>
      <c r="F17" s="51"/>
      <c r="G17" s="51"/>
      <c r="H17" s="52"/>
    </row>
    <row r="18" spans="1:8" ht="25" x14ac:dyDescent="0.25">
      <c r="A18" s="53" t="s">
        <v>47</v>
      </c>
      <c r="B18" s="54"/>
      <c r="C18" s="54"/>
      <c r="D18" s="54"/>
      <c r="E18" s="54"/>
      <c r="F18" s="54"/>
      <c r="G18" s="54"/>
      <c r="H18" s="55"/>
    </row>
    <row r="19" spans="1:8" ht="17" customHeight="1" x14ac:dyDescent="0.25">
      <c r="A19" s="56"/>
      <c r="B19" s="57"/>
      <c r="C19" s="57"/>
      <c r="D19" s="57"/>
      <c r="E19" s="57"/>
      <c r="F19" s="57"/>
      <c r="G19" s="57"/>
      <c r="H19" s="58"/>
    </row>
    <row r="20" spans="1:8" ht="31" x14ac:dyDescent="0.4">
      <c r="A20" s="59" t="s">
        <v>58</v>
      </c>
      <c r="B20" s="60">
        <f>B14/(B14+B15)</f>
        <v>0.22222222222222221</v>
      </c>
      <c r="C20" s="61" t="s">
        <v>46</v>
      </c>
      <c r="D20" s="60">
        <f>AVERAGE(ABS(B20-(B14+D14)/((B14+D14)+(B15-D15))),(B20-(B14-D14)/((B14-D14)+(B15+D15))))</f>
        <v>4.3210730088495825E-3</v>
      </c>
      <c r="E20" s="57"/>
      <c r="F20" s="57"/>
      <c r="G20" s="57"/>
      <c r="H20" s="58"/>
    </row>
    <row r="21" spans="1:8" ht="31" x14ac:dyDescent="0.4">
      <c r="A21" s="59" t="s">
        <v>59</v>
      </c>
      <c r="B21" s="62">
        <f>IF(B20*100&gt;1,B20*100,"low CO2")</f>
        <v>22.222222222222221</v>
      </c>
      <c r="C21" s="61" t="s">
        <v>46</v>
      </c>
      <c r="D21" s="62">
        <f>D20*100</f>
        <v>0.43210730088495825</v>
      </c>
      <c r="E21" s="63" t="str">
        <f>IF(B20*100&gt;1,"","CO2 must be &gt;1 mol%")</f>
        <v/>
      </c>
      <c r="F21" s="64"/>
      <c r="G21" s="64"/>
      <c r="H21" s="65"/>
    </row>
    <row r="22" spans="1:8" x14ac:dyDescent="0.2">
      <c r="A22" s="66"/>
      <c r="B22" s="64"/>
      <c r="C22" s="64"/>
      <c r="D22" s="64"/>
      <c r="E22" s="64"/>
      <c r="F22" s="64"/>
      <c r="G22" s="64"/>
      <c r="H22" s="65"/>
    </row>
    <row r="23" spans="1:8" ht="32" x14ac:dyDescent="0.4">
      <c r="A23" s="59" t="s">
        <v>60</v>
      </c>
      <c r="B23" s="60">
        <f>IF(D12="graphite",E31,IF(D12="glassy",E38,"C form?"))</f>
        <v>-14.863745481481491</v>
      </c>
      <c r="C23" s="61" t="s">
        <v>46</v>
      </c>
      <c r="D23" s="60">
        <f>IF(D12="graphite",0.00489351+E34,IF(D12="glassy",0.00525589+E41,"C form?"))</f>
        <v>1.4225852698065714E-2</v>
      </c>
      <c r="E23" s="64"/>
      <c r="F23" s="64"/>
      <c r="G23" s="64"/>
      <c r="H23" s="65"/>
    </row>
    <row r="24" spans="1:8" ht="32" x14ac:dyDescent="0.4">
      <c r="A24" s="59" t="s">
        <v>61</v>
      </c>
      <c r="B24" s="60">
        <f>-320.828+0.111218*B11-0.0568905*B12-0.000155376*B11^2+0.0000129985*B12^2-0.0000504723*B11*B12+3876.21/B12-0.20758/B11-82144.7/B12^2+0.156252/B11^2+21.6497*B11/B12+116.65*LOG(B12)</f>
        <v>-13.714711841139774</v>
      </c>
      <c r="C24" s="61" t="s">
        <v>46</v>
      </c>
      <c r="D24" s="60">
        <v>1.6299999999999999E-2</v>
      </c>
      <c r="E24" s="64"/>
      <c r="F24" s="64"/>
      <c r="G24" s="64"/>
      <c r="H24" s="65"/>
    </row>
    <row r="25" spans="1:8" ht="26" x14ac:dyDescent="0.25">
      <c r="A25" s="59" t="s">
        <v>50</v>
      </c>
      <c r="B25" s="60">
        <f>-B24+B23</f>
        <v>-1.1490336403417167</v>
      </c>
      <c r="C25" s="61" t="s">
        <v>46</v>
      </c>
      <c r="D25" s="60">
        <f>D23+D24</f>
        <v>3.0525852698065712E-2</v>
      </c>
      <c r="E25" s="64"/>
      <c r="F25" s="64"/>
      <c r="G25" s="64"/>
      <c r="H25" s="65"/>
    </row>
    <row r="26" spans="1:8" ht="14" customHeight="1" x14ac:dyDescent="0.25">
      <c r="A26" s="67"/>
      <c r="B26" s="68"/>
      <c r="C26" s="69"/>
      <c r="D26" s="70"/>
      <c r="E26" s="71"/>
      <c r="F26" s="71"/>
      <c r="G26" s="71"/>
      <c r="H26" s="72"/>
    </row>
    <row r="27" spans="1:8" x14ac:dyDescent="0.2">
      <c r="B27" s="8"/>
    </row>
    <row r="28" spans="1:8" hidden="1" x14ac:dyDescent="0.2"/>
    <row r="29" spans="1:8" hidden="1" x14ac:dyDescent="0.2">
      <c r="A29" s="75" t="s">
        <v>0</v>
      </c>
      <c r="B29" s="75"/>
      <c r="C29" s="75"/>
      <c r="D29" s="75"/>
      <c r="E29" s="75"/>
      <c r="F29" s="75"/>
      <c r="G29" s="75"/>
    </row>
    <row r="30" spans="1:8" hidden="1" x14ac:dyDescent="0.2">
      <c r="A30" s="1"/>
      <c r="B30" s="1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2"/>
    </row>
    <row r="31" spans="1:8" hidden="1" x14ac:dyDescent="0.2">
      <c r="A31" s="2"/>
      <c r="B31" s="19">
        <f>B21</f>
        <v>22.222222222222221</v>
      </c>
      <c r="C31" s="2">
        <f>B11</f>
        <v>10</v>
      </c>
      <c r="D31" s="2">
        <f>B12</f>
        <v>800</v>
      </c>
      <c r="E31" s="3">
        <f>$B$47-($B$48/B31)+($B$49*B31)-($B$50*$B$65)+($B$51/$B$63)-($B$52/C31)+($B$53*C31)+($B$54*B31*$B$63)+($B$55*D31)-($B$56*C31*D31)-($B$57*B31*C31*D31)-($B$58*($B$63)*D31)-($B$59*($B$64))+($B$60*B31*($B$64))+($B$61*C31*$B$64)</f>
        <v>-14.782676546419751</v>
      </c>
      <c r="F31" s="3">
        <f>$C$47-($C$48/B31)+($C$49*B31)-($C$50*$B$65)-($C$51/$B$63)+($C$52/C31)+($C$53*C31)+($C$54*B31*$B$63)-($C$55*D31)-($C$56*C31*D31)-($C$57*B31*C31*D31)-($C$58*($B$63)*D31)+($C$59*($B$64))+($C$60*B31*($B$64))+($C$61*C31*$B$64)</f>
        <v>-1.0681798896296306</v>
      </c>
      <c r="G31" s="2"/>
    </row>
    <row r="32" spans="1:8" hidden="1" x14ac:dyDescent="0.2">
      <c r="A32" s="2"/>
      <c r="B32" s="19">
        <f>B31+D21</f>
        <v>22.65432952310718</v>
      </c>
      <c r="C32" s="2">
        <f>C31</f>
        <v>10</v>
      </c>
      <c r="D32" s="2">
        <f>D31</f>
        <v>800</v>
      </c>
      <c r="E32" s="3">
        <f>$B$47-($B$48/B32)+($B$49*B32)-($B$50*$B$65)+($B$51/$B$63)-($B$52/C32)+($B$53*C32)+($B$54*B32*$B$63)+($B$55*D32)-($B$56*C32*D32)-($B$57*B32*C32*D32)-($B$58*($B$63)*D32)-($B$59*($B$64))+($B$60*B32*($B$64))+($B$61*C32*$B$64)</f>
        <v>-14.773863232667413</v>
      </c>
      <c r="F32" s="3">
        <f>$C$47-($C$48/B32)+($C$49*B32)-($C$50*$B$65)-($C$51/$B$63)+($C$52/C32)+($C$53*C32)+($C$54*B32*$B$63)-($C$55*D32)-($C$56*C32*D32)-($C$57*B32*C32*D32)-($C$58*($B$63)*D32)+($C$59*($B$64))+($C$60*B32*($B$64))+($C$61*C32*$B$64)</f>
        <v>-1.0593785764734736</v>
      </c>
      <c r="G32" s="2"/>
    </row>
    <row r="33" spans="1:25" hidden="1" x14ac:dyDescent="0.2">
      <c r="B33" s="19">
        <f>B21-D21</f>
        <v>21.790114921337263</v>
      </c>
      <c r="C33" s="2">
        <f>C32</f>
        <v>10</v>
      </c>
      <c r="D33" s="2">
        <f>D32</f>
        <v>800</v>
      </c>
      <c r="E33" s="3">
        <f>$B$47-($B$48/B33)+($B$49*B33)-($B$50*$B$65)+($B$51/$B$63)-($B$52/C33)+($B$53*C33)+($B$54*B33*$B$63)+($B$55*D33)-($B$56*C33*D33)-($B$57*B33*C33*D33)-($B$58*($B$63)*D33)-($B$59*($B$64))+($B$60*B33*($B$64))+($B$61*C33*$B$64)</f>
        <v>-14.791635009104592</v>
      </c>
      <c r="F33" s="3">
        <f>$C$47-($C$48/B33)+($C$49*B33)-($C$50*$B$65)-($C$51/$B$63)+($C$52/C33)+($C$53*C33)+($C$54*B33*$B$63)-($C$55*D33)-($C$56*C33*D33)-($C$57*B33*C33*D33)-($C$58*($B$63)*D33)+($C$59*($B$64))+($C$60*B33*($B$64))+($C$61*C33*$B$64)</f>
        <v>-1.0771263898453287</v>
      </c>
    </row>
    <row r="34" spans="1:25" hidden="1" x14ac:dyDescent="0.2">
      <c r="E34" s="8">
        <f>AVERAGE(ABS(E31-E32),(E31-E33))</f>
        <v>8.8858882185895993E-3</v>
      </c>
      <c r="F34" s="8">
        <f>AVERAGE(ABS(F31-F32),(F31-F33))</f>
        <v>8.8739066859275795E-3</v>
      </c>
    </row>
    <row r="35" spans="1:25" hidden="1" x14ac:dyDescent="0.2">
      <c r="E35" s="8"/>
      <c r="H35" s="2"/>
    </row>
    <row r="36" spans="1:25" hidden="1" x14ac:dyDescent="0.2">
      <c r="A36" s="76" t="s">
        <v>27</v>
      </c>
      <c r="B36" s="76"/>
      <c r="C36" s="76"/>
      <c r="D36" s="76"/>
      <c r="E36" s="76"/>
      <c r="F36" s="76"/>
      <c r="G36" s="76"/>
      <c r="H36" s="2"/>
    </row>
    <row r="37" spans="1:25" hidden="1" x14ac:dyDescent="0.2">
      <c r="B37" s="1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2"/>
      <c r="H37" s="2"/>
    </row>
    <row r="38" spans="1:25" hidden="1" x14ac:dyDescent="0.2">
      <c r="B38" s="19">
        <f>B21</f>
        <v>22.222222222222221</v>
      </c>
      <c r="C38" s="2">
        <f>B11</f>
        <v>10</v>
      </c>
      <c r="D38" s="2">
        <f>B12</f>
        <v>800</v>
      </c>
      <c r="E38" s="3">
        <f>$I$48-($I$49/B38)+($I$50*B38)-($I$51*$I$67)+($I$52/$I$65)-($I$53/C38)+($I$54*C38)+($I$55*B38*$I$65)+($I$56*D38)-($I$57*C38*D38)-($I$58*B38*C38*D38)-($I$59*($I$65)*D38)-($I$60*($I$66))+($I$61*B38*($I$66))+($I$62*C38*$I$66)</f>
        <v>-14.863745481481491</v>
      </c>
      <c r="F38" s="3">
        <f>$J$48-($J$49/B38)+($J$50*B38)-($J$51*$I$67)-($J$52/$I$65)+($J$53/C38)+($J$54*C38)+($J$55*B38*$I$65)-($J$56*D38)-($J$57*C38*D38)-($J$58*B38*C38*D38)-($J$59*($I$65)*D38)+($J$60*($I$66))+($J$61*B38*($I$66))+($J$62*C38*$I$66)</f>
        <v>-1.1512265214814805</v>
      </c>
      <c r="G38" s="2"/>
      <c r="H38" s="2"/>
    </row>
    <row r="39" spans="1:25" hidden="1" x14ac:dyDescent="0.2">
      <c r="B39" s="19">
        <f>B38+D21</f>
        <v>22.65432952310718</v>
      </c>
      <c r="C39" s="2">
        <f>C38</f>
        <v>10</v>
      </c>
      <c r="D39" s="2">
        <f>D38</f>
        <v>800</v>
      </c>
      <c r="E39" s="3">
        <f>$I$48-($I$49/B39)+($I$50*B39)-($I$51*$I$67)+($I$52/$I$65)-($I$53/C39)+($I$54*C39)+($I$55*B39*$I$65)+($I$56*D39)-($I$57*C39*D39)-($I$58*B39*C39*D39)-($I$59*($I$65)*D39)-($I$60*($I$66))+($I$61*B39*($I$66))+($I$62*C39*$I$66)</f>
        <v>-14.854848689324985</v>
      </c>
      <c r="F39" s="3">
        <f>$J$48-($J$49/B39)+($J$50*B39)-($J$51*$I$67)-($J$52/$I$65)+($J$53/C39)+($J$54*C39)+($J$55*B39*$I$65)-($J$56*D39)-($J$57*C39*D39)-($J$58*B39*C39*D39)-($J$59*($I$65)*D39)+($J$60*($I$66))+($J$61*B39*($I$66))+($J$62*C39*$I$66)</f>
        <v>-1.1423368080203562</v>
      </c>
      <c r="G39" s="2"/>
      <c r="H39" s="2"/>
    </row>
    <row r="40" spans="1:25" hidden="1" x14ac:dyDescent="0.2">
      <c r="B40" s="19">
        <f>B38-D21</f>
        <v>21.790114921337263</v>
      </c>
      <c r="C40" s="2">
        <f>C39</f>
        <v>10</v>
      </c>
      <c r="D40" s="2">
        <f>D39</f>
        <v>800</v>
      </c>
      <c r="E40" s="3">
        <f>$I$48-($I$49/B40)+($I$50*B40)-($I$51*$I$67)+($I$52/$I$65)-($I$53/C40)+($I$54*C40)+($I$55*B40*$I$65)+($I$56*D40)-($I$57*C40*D40)-($I$58*B40*C40*D40)-($I$59*($I$65)*D40)-($I$60*($I$66))+($I$61*B40*($I$66))+($I$62*C40*$I$66)</f>
        <v>-14.872788614721117</v>
      </c>
      <c r="F40" s="3">
        <f>$J$48-($J$49/B40)+($J$50*B40)-($J$51*$I$67)-($J$52/$I$65)+($J$53/C40)+($J$54*C40)+($J$55*B40*$I$65)-($J$56*D40)-($J$57*C40*D40)-($J$58*B40*C40*D40)-($J$59*($I$65)*D40)+($J$60*($I$66))+($J$61*B40*($I$66))+($J$62*C40*$I$66)</f>
        <v>-1.1602625760257235</v>
      </c>
      <c r="G40" s="2"/>
      <c r="H40" s="2"/>
    </row>
    <row r="41" spans="1:25" hidden="1" x14ac:dyDescent="0.2">
      <c r="E41" s="8">
        <f>AVERAGE(ABS(E38-E39),(E38-E40))</f>
        <v>8.9699626980657143E-3</v>
      </c>
      <c r="F41" s="8">
        <f>AVERAGE(ABS(F38-F39),(F38-F40))</f>
        <v>8.9628840026836354E-3</v>
      </c>
      <c r="G41" s="2"/>
      <c r="H41" s="2"/>
    </row>
    <row r="42" spans="1:25" hidden="1" x14ac:dyDescent="0.2">
      <c r="A42" s="2"/>
      <c r="B42" s="2"/>
      <c r="C42" s="2"/>
      <c r="D42" s="2"/>
      <c r="E42" s="2"/>
      <c r="F42" s="2"/>
      <c r="G42" s="2"/>
      <c r="H42" s="2"/>
    </row>
    <row r="43" spans="1:25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25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25" hidden="1" x14ac:dyDescent="0.2">
      <c r="A45" s="2" t="s">
        <v>6</v>
      </c>
      <c r="B45" s="2"/>
      <c r="C45" s="2"/>
      <c r="D45" s="2"/>
      <c r="E45" s="2"/>
      <c r="F45" s="2"/>
      <c r="G45" s="2"/>
      <c r="H45" s="2" t="s">
        <v>6</v>
      </c>
      <c r="I45" s="2"/>
      <c r="J45" s="2"/>
    </row>
    <row r="46" spans="1:25" hidden="1" x14ac:dyDescent="0.2">
      <c r="A46" s="2"/>
      <c r="B46" s="2" t="s">
        <v>7</v>
      </c>
      <c r="C46" s="2" t="s">
        <v>8</v>
      </c>
      <c r="D46" s="2"/>
      <c r="E46" s="2"/>
      <c r="F46" s="2"/>
      <c r="G46" s="2"/>
      <c r="H46" s="2"/>
      <c r="O46" t="s">
        <v>28</v>
      </c>
      <c r="P46" t="s">
        <v>29</v>
      </c>
      <c r="R46" t="s">
        <v>30</v>
      </c>
      <c r="S46" t="s">
        <v>29</v>
      </c>
      <c r="U46" t="s">
        <v>31</v>
      </c>
      <c r="V46" t="s">
        <v>29</v>
      </c>
      <c r="X46" t="s">
        <v>32</v>
      </c>
    </row>
    <row r="47" spans="1:25" hidden="1" x14ac:dyDescent="0.2">
      <c r="A47" s="2" t="s">
        <v>10</v>
      </c>
      <c r="B47" s="2">
        <v>-48.850499999999997</v>
      </c>
      <c r="C47" s="4">
        <v>6.9193199999999999</v>
      </c>
      <c r="D47" s="2"/>
      <c r="E47" s="2"/>
      <c r="H47" s="2" t="s">
        <v>10</v>
      </c>
      <c r="I47" t="s">
        <v>33</v>
      </c>
      <c r="J47" t="s">
        <v>34</v>
      </c>
      <c r="N47">
        <v>1</v>
      </c>
      <c r="O47" s="5">
        <v>-49.033700000000003</v>
      </c>
      <c r="P47" s="5">
        <v>7.5515799999999994E-2</v>
      </c>
      <c r="R47" s="6">
        <v>-48.850499999999997</v>
      </c>
      <c r="S47" s="6">
        <v>6.6531000000000007E-2</v>
      </c>
      <c r="T47" s="6"/>
      <c r="U47" s="6">
        <v>6.9193199999999999</v>
      </c>
      <c r="V47" s="6">
        <v>0.257494</v>
      </c>
      <c r="W47" s="6"/>
      <c r="X47" s="6">
        <v>6.8476900000000001</v>
      </c>
      <c r="Y47" s="6">
        <v>0.25340099999999999</v>
      </c>
    </row>
    <row r="48" spans="1:25" hidden="1" x14ac:dyDescent="0.2">
      <c r="A48" s="2" t="s">
        <v>12</v>
      </c>
      <c r="B48" s="2">
        <v>4.2638199999999999</v>
      </c>
      <c r="C48" s="4">
        <v>4.2649400000000002</v>
      </c>
      <c r="D48" s="2"/>
      <c r="E48" s="2"/>
      <c r="H48" s="2" t="s">
        <v>12</v>
      </c>
      <c r="I48">
        <v>-49.033700000000003</v>
      </c>
      <c r="J48" s="7">
        <v>6.8476900000000001</v>
      </c>
      <c r="N48" t="s">
        <v>2</v>
      </c>
      <c r="O48" s="8">
        <v>0.29107100000000002</v>
      </c>
      <c r="P48" s="8">
        <v>2.6005999999999998E-3</v>
      </c>
      <c r="Q48" s="8"/>
      <c r="R48" s="8">
        <v>0.28741499999999998</v>
      </c>
      <c r="S48" s="8">
        <v>2.2911899999999998E-3</v>
      </c>
      <c r="T48" s="8"/>
      <c r="U48" s="8">
        <v>8.4573599999999999E-2</v>
      </c>
      <c r="V48" s="8">
        <v>8.8675400000000001E-3</v>
      </c>
      <c r="W48" s="8"/>
      <c r="X48" s="8">
        <v>8.4525000000000003E-2</v>
      </c>
      <c r="Y48" s="8">
        <v>8.7265899999999993E-3</v>
      </c>
    </row>
    <row r="49" spans="1:25" hidden="1" x14ac:dyDescent="0.2">
      <c r="A49" s="2" t="s">
        <v>14</v>
      </c>
      <c r="B49" s="2">
        <v>1.14527E-2</v>
      </c>
      <c r="C49" s="4">
        <v>1.15114E-2</v>
      </c>
      <c r="D49" s="2"/>
      <c r="E49" s="2"/>
      <c r="H49" s="2" t="s">
        <v>14</v>
      </c>
      <c r="I49">
        <v>4.2988400000000002</v>
      </c>
      <c r="J49" s="7">
        <v>4.2988400000000002</v>
      </c>
      <c r="N49" t="s">
        <v>3</v>
      </c>
      <c r="O49" s="7">
        <v>6.9020399999999996E-2</v>
      </c>
      <c r="P49" s="7">
        <v>1.3225499999999999E-4</v>
      </c>
      <c r="Q49" s="7"/>
      <c r="R49" s="7">
        <v>6.8988599999999997E-2</v>
      </c>
      <c r="S49" s="7">
        <v>1.16519E-4</v>
      </c>
      <c r="T49" s="7"/>
      <c r="U49" s="7">
        <v>-2.0302000000000001E-2</v>
      </c>
      <c r="V49" s="7">
        <v>4.5096300000000003E-4</v>
      </c>
      <c r="W49" s="7"/>
      <c r="X49" s="7">
        <v>-1.9651200000000001E-2</v>
      </c>
      <c r="Y49" s="7">
        <v>4.4379400000000001E-4</v>
      </c>
    </row>
    <row r="50" spans="1:25" hidden="1" x14ac:dyDescent="0.2">
      <c r="A50" s="2" t="s">
        <v>15</v>
      </c>
      <c r="B50" s="2">
        <v>4.3862800000000003E-5</v>
      </c>
      <c r="C50" s="4">
        <v>4.3855800000000001E-5</v>
      </c>
      <c r="D50" s="2"/>
      <c r="E50" s="2"/>
      <c r="F50" s="2"/>
      <c r="G50" s="2"/>
      <c r="H50" s="2" t="s">
        <v>15</v>
      </c>
      <c r="I50">
        <v>1.1417399999999999E-2</v>
      </c>
      <c r="J50" s="7">
        <v>1.1451299999999999E-2</v>
      </c>
      <c r="N50" t="s">
        <v>35</v>
      </c>
      <c r="O50" s="7">
        <v>1.1417399999999999E-2</v>
      </c>
      <c r="P50" s="7">
        <v>4.3501999999999999E-4</v>
      </c>
      <c r="Q50" s="7"/>
      <c r="R50" s="7">
        <v>1.14527E-2</v>
      </c>
      <c r="S50" s="7">
        <v>3.8326199999999999E-4</v>
      </c>
      <c r="U50" s="8">
        <v>1.15114E-2</v>
      </c>
      <c r="V50" s="8">
        <v>1.4833299999999999E-3</v>
      </c>
      <c r="W50" s="8"/>
      <c r="X50" s="8">
        <v>1.1451299999999999E-2</v>
      </c>
      <c r="Y50" s="8">
        <v>1.4597499999999999E-3</v>
      </c>
    </row>
    <row r="51" spans="1:25" hidden="1" x14ac:dyDescent="0.2">
      <c r="A51" s="2" t="s">
        <v>16</v>
      </c>
      <c r="B51" s="2">
        <v>18.710100000000001</v>
      </c>
      <c r="C51" s="4">
        <v>19.349499999999999</v>
      </c>
      <c r="D51" s="2"/>
      <c r="E51" s="2"/>
      <c r="F51" s="2"/>
      <c r="G51" s="2"/>
      <c r="H51" s="2" t="s">
        <v>16</v>
      </c>
      <c r="I51">
        <v>4.3914E-5</v>
      </c>
      <c r="J51" s="7">
        <v>4.3914E-5</v>
      </c>
      <c r="N51" s="9" t="s">
        <v>36</v>
      </c>
      <c r="O51" s="10">
        <v>-4.3914E-5</v>
      </c>
      <c r="P51" s="10">
        <f>3.173*10^-6</f>
        <v>3.1729999999999999E-6</v>
      </c>
      <c r="Q51" s="10"/>
      <c r="R51" s="10">
        <v>-4.3862800000000003E-5</v>
      </c>
      <c r="S51" s="10">
        <f>2.79548*10^-6</f>
        <v>2.79548E-6</v>
      </c>
      <c r="T51" s="10"/>
      <c r="U51" s="11">
        <v>-4.3855800000000001E-5</v>
      </c>
      <c r="V51" s="11">
        <v>1.08193E-5</v>
      </c>
      <c r="W51" s="11"/>
      <c r="X51" s="11">
        <v>-4.3914E-5</v>
      </c>
      <c r="Y51" s="11">
        <v>1.0647300000000001E-5</v>
      </c>
    </row>
    <row r="52" spans="1:25" hidden="1" x14ac:dyDescent="0.2">
      <c r="A52" s="2" t="s">
        <v>17</v>
      </c>
      <c r="B52" s="2">
        <v>9.4350299999999994</v>
      </c>
      <c r="C52" s="4">
        <v>5.0547800000000001</v>
      </c>
      <c r="D52" s="2"/>
      <c r="E52" s="2"/>
      <c r="F52" s="2"/>
      <c r="G52" s="2"/>
      <c r="H52" s="2" t="s">
        <v>17</v>
      </c>
      <c r="I52">
        <v>17.3215</v>
      </c>
      <c r="J52" s="7">
        <v>13.689</v>
      </c>
      <c r="N52" t="s">
        <v>11</v>
      </c>
      <c r="O52" s="12">
        <v>-3.3695999999999997E-5</v>
      </c>
      <c r="P52" s="12">
        <f>1.09636*10^-7</f>
        <v>1.0963599999999999E-7</v>
      </c>
      <c r="Q52" s="12"/>
      <c r="R52" s="12">
        <v>-3.3655799999999997E-5</v>
      </c>
      <c r="S52" s="12">
        <f>9.65914*10^-8</f>
        <v>9.6591400000000003E-8</v>
      </c>
      <c r="U52" s="12">
        <v>1.1037500000000001E-5</v>
      </c>
      <c r="V52" s="12">
        <f>3.73836*10^-7</f>
        <v>3.7383600000000001E-7</v>
      </c>
      <c r="W52" s="12"/>
      <c r="X52" s="12">
        <v>1.0513799999999999E-5</v>
      </c>
      <c r="Y52" s="12">
        <f>3.67894*10^-7</f>
        <v>3.6789399999999995E-7</v>
      </c>
    </row>
    <row r="53" spans="1:25" hidden="1" x14ac:dyDescent="0.2">
      <c r="A53" s="2" t="s">
        <v>18</v>
      </c>
      <c r="B53" s="2">
        <v>0.28741499999999998</v>
      </c>
      <c r="C53" s="4">
        <v>8.4573599999999999E-2</v>
      </c>
      <c r="D53" s="2"/>
      <c r="E53" s="2"/>
      <c r="F53" s="2"/>
      <c r="G53" s="2"/>
      <c r="H53" s="2" t="s">
        <v>18</v>
      </c>
      <c r="I53">
        <v>8.8763799999999993</v>
      </c>
      <c r="J53" s="7">
        <v>2.9823</v>
      </c>
      <c r="N53" t="s">
        <v>37</v>
      </c>
      <c r="O53" s="12">
        <f>1.31118*(10^-6)</f>
        <v>1.3111799999999999E-6</v>
      </c>
      <c r="P53" s="12">
        <f>3.11144*10^-7</f>
        <v>3.1114399999999997E-7</v>
      </c>
      <c r="Q53" s="12"/>
      <c r="R53" s="12">
        <f>1.05987*10^-6</f>
        <v>1.05987E-6</v>
      </c>
      <c r="S53" s="12">
        <f>2.74124*10^-7</f>
        <v>2.7412399999999997E-7</v>
      </c>
      <c r="U53" s="10">
        <f>5.319*10^-7</f>
        <v>5.3189999999999994E-7</v>
      </c>
      <c r="V53" s="10">
        <f>1.06094*10^-6</f>
        <v>1.0609399999999999E-6</v>
      </c>
      <c r="W53" s="10"/>
      <c r="X53" s="10">
        <f>1.01113*10^-6</f>
        <v>1.0111300000000001E-6</v>
      </c>
      <c r="Y53" s="10">
        <f>1.04407*10^-6</f>
        <v>1.0440700000000001E-6</v>
      </c>
    </row>
    <row r="54" spans="1:25" hidden="1" x14ac:dyDescent="0.2">
      <c r="A54" s="2" t="s">
        <v>19</v>
      </c>
      <c r="B54" s="2">
        <f>1.05987*(10^(-6))</f>
        <v>1.05987E-6</v>
      </c>
      <c r="C54" s="4">
        <f>5.319*(10^-7)</f>
        <v>5.3189999999999994E-7</v>
      </c>
      <c r="D54" s="2"/>
      <c r="E54" s="2"/>
      <c r="F54" s="2"/>
      <c r="G54" s="2"/>
      <c r="H54" s="2" t="s">
        <v>19</v>
      </c>
      <c r="I54">
        <v>0.29107100000000002</v>
      </c>
      <c r="J54" s="7">
        <v>8.4525000000000003E-2</v>
      </c>
      <c r="N54" t="s">
        <v>38</v>
      </c>
      <c r="O54" s="12">
        <f>-2.01883*10^-7</f>
        <v>-2.0188299999999998E-7</v>
      </c>
      <c r="P54" s="12">
        <f>8.12321*10^-8</f>
        <v>8.1232100000000001E-8</v>
      </c>
      <c r="Q54" s="12"/>
      <c r="R54" s="12">
        <f>-1.65238*10^-7</f>
        <v>-1.6523799999999999E-7</v>
      </c>
      <c r="S54" s="12">
        <f>7.15672*10^-8</f>
        <v>7.1567200000000006E-8</v>
      </c>
      <c r="U54" s="12">
        <f>-1.49002*10^-6</f>
        <v>-1.4900199999999998E-6</v>
      </c>
      <c r="V54" s="12">
        <f>2.76985*10^-7</f>
        <v>2.7698499999999996E-7</v>
      </c>
      <c r="W54" s="12"/>
      <c r="X54" s="12">
        <f>-1.31481*10^-6</f>
        <v>-1.31481E-6</v>
      </c>
      <c r="Y54" s="12">
        <f>2.72583*10^-7</f>
        <v>2.72583E-7</v>
      </c>
    </row>
    <row r="55" spans="1:25" hidden="1" x14ac:dyDescent="0.2">
      <c r="A55" s="2" t="s">
        <v>20</v>
      </c>
      <c r="B55" s="2">
        <v>6.8988599999999997E-2</v>
      </c>
      <c r="C55" s="4">
        <v>2.0302000000000001E-2</v>
      </c>
      <c r="D55" s="2"/>
      <c r="E55" s="2"/>
      <c r="F55" s="2"/>
      <c r="G55" s="2"/>
      <c r="H55" s="2" t="s">
        <v>20</v>
      </c>
      <c r="I55">
        <f>1.31118*(10^(-6))</f>
        <v>1.3111799999999999E-6</v>
      </c>
      <c r="J55" s="7">
        <f>1.01113*(10^(-6))</f>
        <v>1.0111300000000001E-6</v>
      </c>
      <c r="N55" t="s">
        <v>39</v>
      </c>
      <c r="O55" s="11">
        <v>-3.7111700000000002E-4</v>
      </c>
      <c r="P55" s="11">
        <f>7.36886*10^-6</f>
        <v>7.3688599999999996E-6</v>
      </c>
      <c r="Q55" s="11"/>
      <c r="R55" s="11">
        <v>-3.7366199999999997E-4</v>
      </c>
      <c r="S55" s="11">
        <f>6.49212*10^-6</f>
        <v>6.4921199999999998E-6</v>
      </c>
      <c r="U55" s="11">
        <v>-1.51951E-5</v>
      </c>
      <c r="V55" s="11">
        <v>2.5126400000000001E-5</v>
      </c>
      <c r="W55" s="11"/>
      <c r="X55" s="11">
        <v>-3.1654099999999999E-5</v>
      </c>
      <c r="Y55" s="11">
        <v>2.4726999999999999E-5</v>
      </c>
    </row>
    <row r="56" spans="1:25" hidden="1" x14ac:dyDescent="0.2">
      <c r="A56" s="2" t="s">
        <v>21</v>
      </c>
      <c r="B56" s="2">
        <v>3.7366199999999997E-4</v>
      </c>
      <c r="C56" s="4">
        <v>1.51951E-5</v>
      </c>
      <c r="D56" s="2"/>
      <c r="E56" s="2"/>
      <c r="F56" s="2"/>
      <c r="G56" s="2"/>
      <c r="H56" s="2" t="s">
        <v>21</v>
      </c>
      <c r="I56">
        <v>6.9020399999999996E-2</v>
      </c>
      <c r="J56" s="7">
        <v>1.9651200000000001E-2</v>
      </c>
      <c r="N56" t="s">
        <v>40</v>
      </c>
      <c r="O56" s="13">
        <f>1.96129*10^-7</f>
        <v>1.96129E-7</v>
      </c>
      <c r="P56" s="13">
        <f>5.5758*10^-9</f>
        <v>5.5758000000000005E-9</v>
      </c>
      <c r="Q56" s="13"/>
      <c r="R56" s="13">
        <f>1.953*10^-7</f>
        <v>1.9530000000000001E-7</v>
      </c>
      <c r="S56" s="13">
        <f>4.9124*10^-9</f>
        <v>4.9124000000000005E-9</v>
      </c>
      <c r="U56" s="14">
        <f>3.47429*10^-8</f>
        <v>3.4742899999999997E-8</v>
      </c>
      <c r="V56" s="14">
        <f>1.90124*10^-8</f>
        <v>1.90124E-8</v>
      </c>
      <c r="W56" s="14"/>
      <c r="X56" s="14">
        <f>4.57429*10^-8</f>
        <v>4.5742900000000003E-8</v>
      </c>
      <c r="Y56" s="14">
        <f>1.87102*10^-8</f>
        <v>1.8710200000000001E-8</v>
      </c>
    </row>
    <row r="57" spans="1:25" hidden="1" x14ac:dyDescent="0.2">
      <c r="A57" s="2" t="s">
        <v>22</v>
      </c>
      <c r="B57" s="2">
        <f>7.82346*(10^(-8))</f>
        <v>7.8234600000000004E-8</v>
      </c>
      <c r="C57" s="4">
        <f>4.96581*(10^-8)</f>
        <v>4.9658100000000006E-8</v>
      </c>
      <c r="D57" s="2"/>
      <c r="E57" s="2"/>
      <c r="F57" s="2"/>
      <c r="G57" s="2"/>
      <c r="H57" s="2" t="s">
        <v>22</v>
      </c>
      <c r="I57">
        <v>3.7111700000000002E-4</v>
      </c>
      <c r="J57" s="7">
        <v>3.1654099999999999E-5</v>
      </c>
      <c r="N57" t="s">
        <v>41</v>
      </c>
      <c r="O57" s="14">
        <f>-1.02575*10^-7</f>
        <v>-1.0257499999999999E-7</v>
      </c>
      <c r="P57" s="14">
        <f>1.78797*10^-8</f>
        <v>1.7879700000000002E-8</v>
      </c>
      <c r="Q57" s="14"/>
      <c r="R57" s="14">
        <f>-7.82346*10^-8</f>
        <v>-7.8234600000000004E-8</v>
      </c>
      <c r="S57" s="14">
        <f>1.57524*10^-8</f>
        <v>1.5752399999999999E-8</v>
      </c>
      <c r="T57" s="14"/>
      <c r="U57" s="14">
        <f>-4.96581*10^-8</f>
        <v>-4.9658100000000006E-8</v>
      </c>
      <c r="V57" s="14">
        <f>6.09661*10^-8</f>
        <v>6.0966099999999997E-8</v>
      </c>
      <c r="W57" s="14"/>
      <c r="X57" s="14">
        <f>-8.63224*10^-8</f>
        <v>-8.6322399999999992E-8</v>
      </c>
      <c r="Y57" s="14">
        <f>5.9997*10^-8</f>
        <v>5.9997000000000004E-8</v>
      </c>
    </row>
    <row r="58" spans="1:25" hidden="1" x14ac:dyDescent="0.2">
      <c r="A58" s="2" t="s">
        <v>23</v>
      </c>
      <c r="B58" s="2">
        <f>1.65238*(10^(-7))</f>
        <v>1.6523799999999999E-7</v>
      </c>
      <c r="C58" s="4">
        <f>1.49002*(10^-6)</f>
        <v>1.4900199999999998E-6</v>
      </c>
      <c r="D58" s="2"/>
      <c r="E58" s="2"/>
      <c r="F58" s="2"/>
      <c r="G58" s="2"/>
      <c r="H58" s="2" t="s">
        <v>23</v>
      </c>
      <c r="I58">
        <f>1.02575*(10^(-7))</f>
        <v>1.0257499999999999E-7</v>
      </c>
      <c r="J58" s="7">
        <f>8.63224*(10^(-8))</f>
        <v>8.6322399999999992E-8</v>
      </c>
      <c r="N58" t="s">
        <v>42</v>
      </c>
      <c r="O58" s="15">
        <f>2.06607*10^-9</f>
        <v>2.0660700000000001E-9</v>
      </c>
      <c r="P58" s="15">
        <f>3.04538*10^-10</f>
        <v>3.0453800000000005E-10</v>
      </c>
      <c r="Q58" s="15"/>
      <c r="R58" s="15">
        <f>1.55276*10^-9</f>
        <v>1.5527599999999999E-9</v>
      </c>
      <c r="S58" s="15">
        <f>2.68304*10^-10</f>
        <v>2.6830400000000003E-10</v>
      </c>
      <c r="U58" s="13">
        <f>1.13946*10^-9</f>
        <v>1.1394599999999999E-9</v>
      </c>
      <c r="V58" s="13">
        <f>1.03841*10^-9</f>
        <v>1.0384100000000001E-9</v>
      </c>
      <c r="W58" s="13"/>
      <c r="X58" s="13">
        <f>1.83123*10^-9</f>
        <v>1.8312300000000001E-9</v>
      </c>
      <c r="Y58" s="13">
        <f>1.02191*10^-9</f>
        <v>1.0219100000000002E-9</v>
      </c>
    </row>
    <row r="59" spans="1:25" hidden="1" x14ac:dyDescent="0.2">
      <c r="A59" s="2" t="s">
        <v>24</v>
      </c>
      <c r="B59" s="2">
        <v>3.3655799999999997E-5</v>
      </c>
      <c r="C59" s="4">
        <v>1.1037500000000001E-5</v>
      </c>
      <c r="D59" s="2"/>
      <c r="E59" s="2"/>
      <c r="F59" s="2"/>
      <c r="G59" s="2"/>
      <c r="H59" s="2" t="s">
        <v>24</v>
      </c>
      <c r="I59">
        <f>(2.01883*(10^(-7)))</f>
        <v>2.0188299999999998E-7</v>
      </c>
      <c r="J59" s="7">
        <f>1.31481*(10^(-6))</f>
        <v>1.31481E-6</v>
      </c>
      <c r="N59" t="s">
        <v>43</v>
      </c>
      <c r="O59" s="6">
        <v>-8.8763799999999993</v>
      </c>
      <c r="P59" s="6">
        <v>0.64846499999999996</v>
      </c>
      <c r="Q59" s="6"/>
      <c r="R59" s="6">
        <v>-9.4350299999999994</v>
      </c>
      <c r="S59" s="6">
        <v>0.57131100000000001</v>
      </c>
      <c r="U59" s="16">
        <v>5.0547800000000001</v>
      </c>
      <c r="V59" s="16">
        <v>2.2111399999999999</v>
      </c>
      <c r="W59" s="16"/>
      <c r="X59" s="16">
        <v>2.9823</v>
      </c>
      <c r="Y59" s="16">
        <v>2.1759900000000001</v>
      </c>
    </row>
    <row r="60" spans="1:25" hidden="1" x14ac:dyDescent="0.2">
      <c r="A60" s="2" t="s">
        <v>25</v>
      </c>
      <c r="B60" s="2">
        <f>1.55276*(10^(-9))</f>
        <v>1.5527599999999999E-9</v>
      </c>
      <c r="C60" s="4">
        <f>1.13946*(10^-9)</f>
        <v>1.1394599999999999E-9</v>
      </c>
      <c r="D60" s="2"/>
      <c r="E60" s="2"/>
      <c r="F60" s="2"/>
      <c r="G60" s="2"/>
      <c r="H60" s="2" t="s">
        <v>25</v>
      </c>
      <c r="I60">
        <v>3.3695999999999997E-5</v>
      </c>
      <c r="J60" s="7">
        <v>1.0513799999999999E-5</v>
      </c>
      <c r="N60" t="s">
        <v>44</v>
      </c>
      <c r="O60" s="6">
        <v>-4.2988400000000002</v>
      </c>
      <c r="P60" s="6">
        <v>0.119633</v>
      </c>
      <c r="Q60" s="6"/>
      <c r="R60" s="6">
        <v>-4.2638199999999999</v>
      </c>
      <c r="S60" s="6">
        <v>0.10539999999999999</v>
      </c>
      <c r="U60" s="6">
        <v>-4.2649400000000002</v>
      </c>
      <c r="V60" s="6">
        <v>0.40792600000000001</v>
      </c>
      <c r="W60" s="6"/>
      <c r="X60" s="6">
        <v>-4.2988400000000002</v>
      </c>
      <c r="Y60" s="6">
        <v>0.40144200000000002</v>
      </c>
    </row>
    <row r="61" spans="1:25" hidden="1" x14ac:dyDescent="0.2">
      <c r="A61" s="2" t="s">
        <v>26</v>
      </c>
      <c r="B61" s="2">
        <f>1.953*(10^(-7))</f>
        <v>1.9530000000000001E-7</v>
      </c>
      <c r="C61" s="4">
        <f>3.47429*(10^-8)</f>
        <v>3.4742899999999997E-8</v>
      </c>
      <c r="D61" s="2"/>
      <c r="E61" s="2"/>
      <c r="F61" s="2"/>
      <c r="G61" s="2"/>
      <c r="H61" s="2" t="s">
        <v>26</v>
      </c>
      <c r="I61">
        <f>2.06607*(10^(-9))</f>
        <v>2.0660700000000001E-9</v>
      </c>
      <c r="J61" s="7">
        <f>1.83123*(10^(-9))</f>
        <v>1.8312300000000001E-9</v>
      </c>
      <c r="N61" t="s">
        <v>45</v>
      </c>
      <c r="O61" s="16">
        <v>17.3215</v>
      </c>
      <c r="P61" s="16">
        <v>1.8055600000000001</v>
      </c>
      <c r="Q61" s="16"/>
      <c r="R61" s="16">
        <v>18.710100000000001</v>
      </c>
      <c r="S61" s="16">
        <v>1.59073</v>
      </c>
      <c r="T61" s="16"/>
      <c r="U61" s="16">
        <v>-19.349499999999999</v>
      </c>
      <c r="V61" s="16">
        <v>6.1565899999999996</v>
      </c>
      <c r="W61" s="16"/>
      <c r="X61" s="16">
        <v>-13.689</v>
      </c>
      <c r="Y61" s="16">
        <v>6.0587200000000001</v>
      </c>
    </row>
    <row r="62" spans="1:25" hidden="1" x14ac:dyDescent="0.2">
      <c r="A62" s="2"/>
      <c r="B62" s="2"/>
      <c r="C62" s="2"/>
      <c r="D62" s="2"/>
      <c r="E62" s="2"/>
      <c r="F62" s="2"/>
      <c r="I62">
        <f>1.96129*(10^(-7))</f>
        <v>1.96129E-7</v>
      </c>
      <c r="J62" s="7">
        <f>4.57429*(10^(-8))</f>
        <v>4.5742900000000003E-8</v>
      </c>
      <c r="O62" s="8">
        <v>4.1610099999999997E-2</v>
      </c>
      <c r="R62" s="8">
        <v>2.9987199999999999E-2</v>
      </c>
      <c r="U62" s="8">
        <v>7.07483E-2</v>
      </c>
      <c r="X62" s="17">
        <v>1.8083700000000001E-2</v>
      </c>
    </row>
    <row r="63" spans="1:25" hidden="1" x14ac:dyDescent="0.2">
      <c r="A63" s="2" t="s">
        <v>9</v>
      </c>
      <c r="B63" s="2">
        <f>C31^2</f>
        <v>100</v>
      </c>
      <c r="C63" s="2"/>
      <c r="D63" s="2"/>
      <c r="E63" s="2"/>
      <c r="F63" s="2"/>
    </row>
    <row r="64" spans="1:25" hidden="1" x14ac:dyDescent="0.2">
      <c r="A64" s="2" t="s">
        <v>11</v>
      </c>
      <c r="B64" s="2">
        <f>D31^2</f>
        <v>640000</v>
      </c>
      <c r="C64" s="2"/>
      <c r="D64" s="2"/>
      <c r="E64" s="2"/>
      <c r="F64" s="2"/>
      <c r="H64" s="2" t="s">
        <v>9</v>
      </c>
    </row>
    <row r="65" spans="1:9" hidden="1" x14ac:dyDescent="0.2">
      <c r="A65" s="2" t="s">
        <v>13</v>
      </c>
      <c r="B65" s="2">
        <f>B31^2</f>
        <v>493.82716049382714</v>
      </c>
      <c r="H65" s="2" t="s">
        <v>11</v>
      </c>
      <c r="I65" s="2">
        <f>C38^2</f>
        <v>100</v>
      </c>
    </row>
    <row r="66" spans="1:9" hidden="1" x14ac:dyDescent="0.2">
      <c r="H66" s="2" t="s">
        <v>13</v>
      </c>
      <c r="I66" s="2">
        <f>D38^2</f>
        <v>640000</v>
      </c>
    </row>
    <row r="67" spans="1:9" hidden="1" x14ac:dyDescent="0.2">
      <c r="I67" s="2">
        <f>B38^2</f>
        <v>493.82716049382714</v>
      </c>
    </row>
    <row r="68" spans="1:9" hidden="1" x14ac:dyDescent="0.2"/>
    <row r="69" spans="1:9" x14ac:dyDescent="0.2">
      <c r="A69" s="73" t="s">
        <v>64</v>
      </c>
    </row>
    <row r="70" spans="1:9" x14ac:dyDescent="0.2">
      <c r="A70" s="73" t="s">
        <v>62</v>
      </c>
    </row>
    <row r="71" spans="1:9" x14ac:dyDescent="0.2">
      <c r="A71" s="74" t="s">
        <v>63</v>
      </c>
    </row>
  </sheetData>
  <mergeCells count="4">
    <mergeCell ref="A29:G29"/>
    <mergeCell ref="A36:G36"/>
    <mergeCell ref="D12:H12"/>
    <mergeCell ref="F14:G15"/>
  </mergeCells>
  <pageMargins left="0.7" right="0.7" top="0.75" bottom="0.75" header="0.3" footer="0.3"/>
  <pageSetup paperSize="9"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Fugacity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miozzi</dc:creator>
  <cp:lastModifiedBy>Microsoft Office User</cp:lastModifiedBy>
  <dcterms:created xsi:type="dcterms:W3CDTF">2020-05-12T07:19:51Z</dcterms:created>
  <dcterms:modified xsi:type="dcterms:W3CDTF">2020-12-30T13:17:29Z</dcterms:modified>
</cp:coreProperties>
</file>