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17\GPL2107 Zhu\Supp Info\"/>
    </mc:Choice>
  </mc:AlternateContent>
  <xr:revisionPtr revIDLastSave="0" documentId="13_ncr:1_{F28F87A7-222F-4892-B5A7-E21AB23DA34D}" xr6:coauthVersionLast="46" xr6:coauthVersionMax="46" xr10:uidLastSave="{00000000-0000-0000-0000-000000000000}"/>
  <bookViews>
    <workbookView xWindow="-108" yWindow="-108" windowWidth="23256" windowHeight="12576" xr2:uid="{8BD16300-494D-A740-9606-FEEAFEE3DDA6}"/>
  </bookViews>
  <sheets>
    <sheet name="Table S-1" sheetId="8" r:id="rId1"/>
    <sheet name="Table S-5" sheetId="10" r:id="rId2"/>
  </sheets>
  <definedNames>
    <definedName name="_Box1_1" localSheetId="0">#REF!</definedName>
    <definedName name="_Box1_1" localSheetId="1">#REF!</definedName>
    <definedName name="_Box1_1">#REF!</definedName>
    <definedName name="_Box1_10" localSheetId="0">#REF!</definedName>
    <definedName name="_Box1_10" localSheetId="1">#REF!</definedName>
    <definedName name="_Box1_10">#REF!</definedName>
    <definedName name="_Box1_11" localSheetId="0">#REF!</definedName>
    <definedName name="_Box1_11" localSheetId="1">#REF!</definedName>
    <definedName name="_Box1_11">#REF!</definedName>
    <definedName name="_Box1_12" localSheetId="0">#REF!</definedName>
    <definedName name="_Box1_12">#REF!</definedName>
    <definedName name="_Box1_13" localSheetId="0">#REF!</definedName>
    <definedName name="_Box1_13">#REF!</definedName>
    <definedName name="_Box1_14" localSheetId="0">#REF!</definedName>
    <definedName name="_Box1_14">#REF!</definedName>
    <definedName name="_Box1_15" localSheetId="0">#REF!</definedName>
    <definedName name="_Box1_15">#REF!</definedName>
    <definedName name="_Box1_16" localSheetId="0">#REF!</definedName>
    <definedName name="_Box1_16">#REF!</definedName>
    <definedName name="_Box1_2" localSheetId="0">#REF!</definedName>
    <definedName name="_Box1_2">#REF!</definedName>
    <definedName name="_Box1_3" localSheetId="0">#REF!</definedName>
    <definedName name="_Box1_3">#REF!</definedName>
    <definedName name="_Box1_4" localSheetId="0">#REF!</definedName>
    <definedName name="_Box1_4">#REF!</definedName>
    <definedName name="_Box1_5" localSheetId="0">#REF!</definedName>
    <definedName name="_Box1_5">#REF!</definedName>
    <definedName name="_Box1_6" localSheetId="0">#REF!</definedName>
    <definedName name="_Box1_6">#REF!</definedName>
    <definedName name="_Box1_7" localSheetId="0">#REF!</definedName>
    <definedName name="_Box1_7">#REF!</definedName>
    <definedName name="_Box1_8" localSheetId="0">#REF!</definedName>
    <definedName name="_Box1_8">#REF!</definedName>
    <definedName name="_Box1_9" localSheetId="0">#REF!</definedName>
    <definedName name="_Box1_9">#REF!</definedName>
    <definedName name="_gXY1" localSheetId="0">#REF!</definedName>
    <definedName name="_gXY1">#REF!</definedName>
    <definedName name="Caold2" localSheetId="1">#REF!</definedName>
    <definedName name="Caold2">#REF!</definedName>
    <definedName name="d" localSheetId="1">#REF!</definedName>
    <definedName name="d">#REF!</definedName>
    <definedName name="Table三角图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8" l="1"/>
  <c r="U26" i="10"/>
  <c r="U25" i="10"/>
  <c r="U24" i="10"/>
  <c r="U23" i="10"/>
  <c r="U22" i="10"/>
  <c r="U21" i="10"/>
  <c r="U20" i="10"/>
  <c r="U19" i="10"/>
  <c r="U18" i="10"/>
  <c r="U17" i="10"/>
  <c r="U16" i="10"/>
  <c r="U15" i="10"/>
  <c r="Q26" i="10"/>
  <c r="S26" i="10"/>
  <c r="F26" i="10"/>
  <c r="L26" i="10"/>
  <c r="H26" i="10"/>
  <c r="J26" i="10"/>
  <c r="N26" i="10"/>
  <c r="Q24" i="10"/>
  <c r="S24" i="10"/>
  <c r="W24" i="10"/>
  <c r="F24" i="10"/>
  <c r="L24" i="10"/>
  <c r="H24" i="10"/>
  <c r="J24" i="10"/>
  <c r="N24" i="10"/>
  <c r="F23" i="10"/>
  <c r="L23" i="10"/>
  <c r="H23" i="10"/>
  <c r="J23" i="10"/>
  <c r="Q23" i="10"/>
  <c r="S23" i="10"/>
  <c r="F21" i="10"/>
  <c r="L21" i="10"/>
  <c r="H21" i="10"/>
  <c r="J21" i="10"/>
  <c r="Q21" i="10"/>
  <c r="S21" i="10"/>
  <c r="F20" i="10"/>
  <c r="L20" i="10"/>
  <c r="H20" i="10"/>
  <c r="J20" i="10"/>
  <c r="Q20" i="10"/>
  <c r="W20" i="10"/>
  <c r="F18" i="10"/>
  <c r="L18" i="10"/>
  <c r="H18" i="10"/>
  <c r="J18" i="10"/>
  <c r="Q18" i="10"/>
  <c r="S18" i="10"/>
  <c r="F17" i="10"/>
  <c r="L17" i="10"/>
  <c r="H17" i="10"/>
  <c r="J17" i="10"/>
  <c r="Q17" i="10"/>
  <c r="W17" i="10"/>
  <c r="F15" i="10"/>
  <c r="L15" i="10"/>
  <c r="H15" i="10"/>
  <c r="J15" i="10"/>
  <c r="T15" i="10"/>
  <c r="Q15" i="10"/>
  <c r="W15" i="10"/>
  <c r="F14" i="10"/>
  <c r="L14" i="10"/>
  <c r="H14" i="10"/>
  <c r="Q14" i="10"/>
  <c r="S14" i="10"/>
  <c r="Q12" i="10"/>
  <c r="S12" i="10"/>
  <c r="F12" i="10"/>
  <c r="L12" i="10"/>
  <c r="H12" i="10"/>
  <c r="F25" i="10"/>
  <c r="L25" i="10"/>
  <c r="H25" i="10"/>
  <c r="J25" i="10"/>
  <c r="N25" i="10"/>
  <c r="Q25" i="10"/>
  <c r="S25" i="10"/>
  <c r="Y25" i="10"/>
  <c r="Y24" i="10"/>
  <c r="F13" i="10"/>
  <c r="H13" i="10"/>
  <c r="L13" i="10"/>
  <c r="F16" i="10"/>
  <c r="H16" i="10"/>
  <c r="J16" i="10"/>
  <c r="L16" i="10"/>
  <c r="V16" i="10"/>
  <c r="F19" i="10"/>
  <c r="H19" i="10"/>
  <c r="J19" i="10"/>
  <c r="L19" i="10"/>
  <c r="F22" i="10"/>
  <c r="H22" i="10"/>
  <c r="J22" i="10"/>
  <c r="L22" i="10"/>
  <c r="Q19" i="10"/>
  <c r="W19" i="10"/>
  <c r="Q13" i="10"/>
  <c r="S13" i="10"/>
  <c r="Q16" i="10"/>
  <c r="S16" i="10"/>
  <c r="Q22" i="10"/>
  <c r="S22" i="10"/>
  <c r="W13" i="10"/>
  <c r="V22" i="10"/>
  <c r="P25" i="10"/>
  <c r="P14" i="10"/>
  <c r="T17" i="10"/>
  <c r="P18" i="10"/>
  <c r="V12" i="10"/>
  <c r="S15" i="10"/>
  <c r="V26" i="10"/>
  <c r="P12" i="10"/>
  <c r="X24" i="10"/>
  <c r="P17" i="10"/>
  <c r="T18" i="10"/>
  <c r="R25" i="10"/>
  <c r="V23" i="10"/>
  <c r="S19" i="10"/>
  <c r="P13" i="10"/>
  <c r="R14" i="10"/>
  <c r="T21" i="10"/>
  <c r="X25" i="10"/>
  <c r="Y26" i="10"/>
  <c r="R17" i="10"/>
  <c r="P21" i="10"/>
  <c r="R21" i="10"/>
  <c r="P16" i="10"/>
  <c r="R12" i="10"/>
  <c r="W23" i="10"/>
  <c r="X26" i="10"/>
  <c r="R23" i="10"/>
  <c r="P26" i="10"/>
  <c r="P23" i="10"/>
  <c r="T26" i="10"/>
  <c r="R26" i="10"/>
  <c r="R24" i="10"/>
  <c r="V13" i="10"/>
  <c r="T22" i="10"/>
  <c r="T16" i="10"/>
  <c r="R15" i="10"/>
  <c r="V18" i="10"/>
  <c r="T20" i="10"/>
  <c r="R22" i="10"/>
  <c r="R16" i="10"/>
  <c r="V14" i="10"/>
  <c r="V15" i="10"/>
  <c r="V17" i="10"/>
  <c r="P20" i="10"/>
  <c r="T24" i="10"/>
  <c r="V25" i="10"/>
  <c r="W12" i="10"/>
  <c r="P15" i="10"/>
  <c r="W16" i="10"/>
  <c r="R13" i="10"/>
  <c r="S17" i="10"/>
  <c r="W18" i="10"/>
  <c r="V20" i="10"/>
  <c r="V24" i="10"/>
  <c r="V19" i="10"/>
  <c r="V21" i="10"/>
  <c r="T25" i="10"/>
  <c r="S20" i="10"/>
  <c r="T23" i="10"/>
  <c r="P24" i="10"/>
  <c r="Z17" i="10"/>
  <c r="AB17" i="10"/>
  <c r="W26" i="10"/>
  <c r="P19" i="10"/>
  <c r="P22" i="10"/>
  <c r="T19" i="10"/>
  <c r="W14" i="10"/>
  <c r="R18" i="10"/>
  <c r="R20" i="10"/>
  <c r="W22" i="10"/>
  <c r="W21" i="10"/>
  <c r="W25" i="10"/>
  <c r="R19" i="10"/>
  <c r="Z18" i="10"/>
  <c r="AB18" i="10"/>
  <c r="Z20" i="10"/>
  <c r="AB20" i="10"/>
  <c r="Z13" i="10"/>
  <c r="AB13" i="10"/>
  <c r="Z23" i="10"/>
  <c r="AB23" i="10"/>
  <c r="Z15" i="10"/>
  <c r="AB15" i="10"/>
  <c r="Z12" i="10"/>
  <c r="AB12" i="10"/>
  <c r="Z14" i="10"/>
  <c r="AB14" i="10"/>
  <c r="Z24" i="10"/>
  <c r="AB24" i="10"/>
  <c r="Z16" i="10"/>
  <c r="AB16" i="10"/>
  <c r="Z22" i="10"/>
  <c r="AB22" i="10"/>
  <c r="Z25" i="10"/>
  <c r="AB25" i="10"/>
  <c r="Z26" i="10"/>
  <c r="AB26" i="10"/>
  <c r="Z21" i="10"/>
  <c r="AB21" i="10"/>
  <c r="Z19" i="10"/>
  <c r="AB19" i="10"/>
</calcChain>
</file>

<file path=xl/sharedStrings.xml><?xml version="1.0" encoding="utf-8"?>
<sst xmlns="http://schemas.openxmlformats.org/spreadsheetml/2006/main" count="657" uniqueCount="197">
  <si>
    <t>CaO(%)</t>
  </si>
  <si>
    <t>MgO(%)</t>
  </si>
  <si>
    <t>MnO(%)</t>
  </si>
  <si>
    <t>LOI(%)</t>
  </si>
  <si>
    <t>&lt;0.01</t>
  </si>
  <si>
    <t>2092/761-763</t>
    <phoneticPr fontId="4" type="noConversion"/>
  </si>
  <si>
    <t>01/151</t>
    <phoneticPr fontId="4" type="noConversion"/>
  </si>
  <si>
    <t>C-1/135-144</t>
    <phoneticPr fontId="4" type="noConversion"/>
  </si>
  <si>
    <t>Primary carbonatite</t>
    <phoneticPr fontId="4" type="noConversion"/>
  </si>
  <si>
    <t>2050/119-121</t>
    <phoneticPr fontId="1" type="noConversion"/>
  </si>
  <si>
    <t>Non-primary carbonatite</t>
    <phoneticPr fontId="4" type="noConversion"/>
  </si>
  <si>
    <t>2099/75–80</t>
    <phoneticPr fontId="4" type="noConversion"/>
  </si>
  <si>
    <t>2099-297-300</t>
    <phoneticPr fontId="4" type="noConversion"/>
  </si>
  <si>
    <t>COQ-1</t>
    <phoneticPr fontId="4" type="noConversion"/>
  </si>
  <si>
    <t>Oka51</t>
    <phoneticPr fontId="4" type="noConversion"/>
  </si>
  <si>
    <t>Oka72</t>
    <phoneticPr fontId="4" type="noConversion"/>
  </si>
  <si>
    <t>Oka153</t>
    <phoneticPr fontId="4" type="noConversion"/>
  </si>
  <si>
    <t>KD-1</t>
    <phoneticPr fontId="4" type="noConversion"/>
  </si>
  <si>
    <t>KD-5</t>
    <phoneticPr fontId="4" type="noConversion"/>
  </si>
  <si>
    <t>&lt;0.22</t>
    <phoneticPr fontId="7" type="noConversion"/>
  </si>
  <si>
    <t>KD-8</t>
    <phoneticPr fontId="4" type="noConversion"/>
  </si>
  <si>
    <t>SXD-2</t>
    <phoneticPr fontId="4" type="noConversion"/>
  </si>
  <si>
    <t>SXD-5</t>
    <phoneticPr fontId="4" type="noConversion"/>
  </si>
  <si>
    <t>SXD-11c</t>
    <phoneticPr fontId="4" type="noConversion"/>
  </si>
  <si>
    <t>L7-1</t>
    <phoneticPr fontId="4" type="noConversion"/>
  </si>
  <si>
    <t>CZK002-12</t>
    <phoneticPr fontId="4" type="noConversion"/>
  </si>
  <si>
    <t>HLP-3</t>
    <phoneticPr fontId="4" type="noConversion"/>
  </si>
  <si>
    <t>HLP-6</t>
    <phoneticPr fontId="4" type="noConversion"/>
  </si>
  <si>
    <t>HYC-2</t>
    <phoneticPr fontId="4" type="noConversion"/>
  </si>
  <si>
    <t>HYC-6</t>
    <phoneticPr fontId="4" type="noConversion"/>
  </si>
  <si>
    <t>FZ12-21</t>
    <phoneticPr fontId="4" type="noConversion"/>
  </si>
  <si>
    <t>Location</t>
    <phoneticPr fontId="4" type="noConversion"/>
  </si>
  <si>
    <t>WR</t>
    <phoneticPr fontId="4" type="noConversion"/>
  </si>
  <si>
    <t>Oka, Canada</t>
    <phoneticPr fontId="4" type="noConversion"/>
  </si>
  <si>
    <t>Carbonate</t>
    <phoneticPr fontId="4" type="noConversion"/>
  </si>
  <si>
    <t>Alkaline rock</t>
    <phoneticPr fontId="4" type="noConversion"/>
  </si>
  <si>
    <t>Belaya Zima, Russia</t>
    <phoneticPr fontId="4" type="noConversion"/>
  </si>
  <si>
    <t>Stage 1 Metlteigite-ijolites</t>
    <phoneticPr fontId="4" type="noConversion"/>
  </si>
  <si>
    <t>Pyroxenite/Melteigite</t>
    <phoneticPr fontId="4" type="noConversion"/>
  </si>
  <si>
    <t>Nepheline syenite</t>
    <phoneticPr fontId="4" type="noConversion"/>
  </si>
  <si>
    <t>Stage 2 Alkaline syenites</t>
    <phoneticPr fontId="4" type="noConversion"/>
  </si>
  <si>
    <t>Stage 5 Ankerite carbonatite that strongly altered by post- magmatic processes</t>
    <phoneticPr fontId="4" type="noConversion"/>
  </si>
  <si>
    <t>Ferro-carbonatite</t>
    <phoneticPr fontId="4" type="noConversion"/>
  </si>
  <si>
    <t xml:space="preserve">Stage 3 Primary calcite carbonatite </t>
    <phoneticPr fontId="4" type="noConversion"/>
  </si>
  <si>
    <t>Calcite-dolomite carbonatite</t>
    <phoneticPr fontId="4" type="noConversion"/>
  </si>
  <si>
    <t>Stage 4 Calcite-dolomite carbonatite with hydrothermal alteration</t>
    <phoneticPr fontId="4" type="noConversion"/>
  </si>
  <si>
    <t>Kovdor, Russia</t>
    <phoneticPr fontId="4" type="noConversion"/>
  </si>
  <si>
    <t>Phoscorite-forsteritite</t>
    <phoneticPr fontId="4" type="noConversion"/>
  </si>
  <si>
    <t>Songwe, E Africa</t>
    <phoneticPr fontId="4" type="noConversion"/>
  </si>
  <si>
    <t>SH2-7</t>
  </si>
  <si>
    <t>SH2-5</t>
  </si>
  <si>
    <t>SH2-6</t>
    <phoneticPr fontId="4" type="noConversion"/>
  </si>
  <si>
    <t>MP-2</t>
  </si>
  <si>
    <t>Mountain Pass, North America</t>
    <phoneticPr fontId="4" type="noConversion"/>
  </si>
  <si>
    <t>Tarim, NW China</t>
    <phoneticPr fontId="4" type="noConversion"/>
  </si>
  <si>
    <t>PL7-12</t>
    <phoneticPr fontId="4" type="noConversion"/>
  </si>
  <si>
    <t>PL7-15</t>
  </si>
  <si>
    <t>Shaxiongdong, South Qinling Orogen, Central China</t>
    <phoneticPr fontId="4" type="noConversion"/>
  </si>
  <si>
    <t>MK-23,jizhi</t>
  </si>
  <si>
    <t>MK-23,qiuli</t>
  </si>
  <si>
    <t>FZ12-10</t>
    <phoneticPr fontId="4" type="noConversion"/>
  </si>
  <si>
    <t>Fengzhen, N China</t>
    <phoneticPr fontId="4" type="noConversion"/>
  </si>
  <si>
    <t>FZ12-12</t>
    <phoneticPr fontId="4" type="noConversion"/>
  </si>
  <si>
    <t>FZ12-18</t>
    <phoneticPr fontId="4" type="noConversion"/>
  </si>
  <si>
    <t>Pyroxenite</t>
    <phoneticPr fontId="4" type="noConversion"/>
  </si>
  <si>
    <t>FZ12-9</t>
    <phoneticPr fontId="4" type="noConversion"/>
  </si>
  <si>
    <t>Huanglongpu, North Qinling Orogen, Central China</t>
    <phoneticPr fontId="4" type="noConversion"/>
  </si>
  <si>
    <t>Huayangchuan, North Qinling Orogen, Central China</t>
    <phoneticPr fontId="4" type="noConversion"/>
  </si>
  <si>
    <t>MY05</t>
    <phoneticPr fontId="4" type="noConversion"/>
  </si>
  <si>
    <t>Miaoya, South Qinling Orogen, Central China</t>
    <phoneticPr fontId="4" type="noConversion"/>
  </si>
  <si>
    <t>CT-30</t>
  </si>
  <si>
    <t>Caotan, North Qinling Orogen, Central China</t>
    <phoneticPr fontId="4" type="noConversion"/>
  </si>
  <si>
    <t>HJG-1</t>
  </si>
  <si>
    <t>HJG-2</t>
  </si>
  <si>
    <t>Description</t>
    <phoneticPr fontId="4" type="noConversion"/>
  </si>
  <si>
    <t>Sample ID</t>
    <phoneticPr fontId="4" type="noConversion"/>
  </si>
  <si>
    <t>Sample type</t>
    <phoneticPr fontId="4" type="noConversion"/>
  </si>
  <si>
    <r>
      <t>δ</t>
    </r>
    <r>
      <rPr>
        <b/>
        <vertAlign val="superscript"/>
        <sz val="12"/>
        <rFont val="Times New Roman"/>
        <family val="1"/>
      </rPr>
      <t>44/42</t>
    </r>
    <r>
      <rPr>
        <b/>
        <sz val="12"/>
        <rFont val="Times New Roman"/>
        <family val="1"/>
      </rPr>
      <t>Ca</t>
    </r>
    <r>
      <rPr>
        <b/>
        <vertAlign val="subscript"/>
        <sz val="12"/>
        <rFont val="Times New Roman"/>
        <family val="1"/>
      </rPr>
      <t>915a</t>
    </r>
    <phoneticPr fontId="4" type="noConversion"/>
  </si>
  <si>
    <r>
      <t>δ</t>
    </r>
    <r>
      <rPr>
        <b/>
        <vertAlign val="superscript"/>
        <sz val="12"/>
        <rFont val="Times New Roman"/>
        <family val="1"/>
      </rPr>
      <t>43/42</t>
    </r>
    <r>
      <rPr>
        <b/>
        <sz val="12"/>
        <rFont val="Times New Roman"/>
        <family val="1"/>
      </rPr>
      <t>Ca</t>
    </r>
    <r>
      <rPr>
        <b/>
        <vertAlign val="subscript"/>
        <sz val="12"/>
        <rFont val="Times New Roman"/>
        <family val="1"/>
      </rPr>
      <t>915a</t>
    </r>
    <phoneticPr fontId="4" type="noConversion"/>
  </si>
  <si>
    <r>
      <t>SiO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(%)</t>
    </r>
  </si>
  <si>
    <r>
      <t>TiO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(%)</t>
    </r>
  </si>
  <si>
    <r>
      <t>Na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O(%)</t>
    </r>
  </si>
  <si>
    <r>
      <t>Al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(%)</t>
    </r>
  </si>
  <si>
    <r>
      <t>K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O(%)</t>
    </r>
  </si>
  <si>
    <r>
      <t>TFe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(%)</t>
    </r>
  </si>
  <si>
    <r>
      <t>P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>(%)</t>
    </r>
  </si>
  <si>
    <t>Tectonic setting</t>
    <phoneticPr fontId="4" type="noConversion"/>
  </si>
  <si>
    <t>Rift setting</t>
    <phoneticPr fontId="1" type="noConversion"/>
  </si>
  <si>
    <t>Collisional setting</t>
    <phoneticPr fontId="1" type="noConversion"/>
  </si>
  <si>
    <t>Age (Ma)</t>
    <phoneticPr fontId="4" type="noConversion"/>
  </si>
  <si>
    <t>Calcite carbonatite</t>
  </si>
  <si>
    <t>Dolomite carbonatite</t>
  </si>
  <si>
    <t>Ijolite</t>
    <phoneticPr fontId="1" type="noConversion"/>
  </si>
  <si>
    <t>Stages/alteration</t>
    <phoneticPr fontId="4" type="noConversion"/>
  </si>
  <si>
    <t>Low-temperature alteration</t>
    <phoneticPr fontId="4" type="noConversion"/>
  </si>
  <si>
    <t>n.d.</t>
    <phoneticPr fontId="1" type="noConversion"/>
  </si>
  <si>
    <t>Data source for major elements</t>
    <phoneticPr fontId="4" type="noConversion"/>
  </si>
  <si>
    <t>This study</t>
    <phoneticPr fontId="1" type="noConversion"/>
  </si>
  <si>
    <t>GeoRem database</t>
    <phoneticPr fontId="4" type="noConversion"/>
  </si>
  <si>
    <t>Analytical material for major elements</t>
    <phoneticPr fontId="4" type="noConversion"/>
  </si>
  <si>
    <t>WR</t>
    <phoneticPr fontId="1" type="noConversion"/>
  </si>
  <si>
    <t>Data source for C and O isotopes</t>
    <phoneticPr fontId="4" type="noConversion"/>
  </si>
  <si>
    <t>Calcite</t>
    <phoneticPr fontId="1" type="noConversion"/>
  </si>
  <si>
    <t>Dolomite</t>
    <phoneticPr fontId="1" type="noConversion"/>
  </si>
  <si>
    <t>Apatite</t>
    <phoneticPr fontId="1" type="noConversion"/>
  </si>
  <si>
    <r>
      <t>2SD</t>
    </r>
    <r>
      <rPr>
        <b/>
        <vertAlign val="subscript"/>
        <sz val="12"/>
        <rFont val="Times New Roman"/>
        <family val="1"/>
      </rPr>
      <t>-ex</t>
    </r>
    <phoneticPr fontId="4" type="noConversion"/>
  </si>
  <si>
    <t>Data source for Ca isotopes</t>
    <phoneticPr fontId="4" type="noConversion"/>
  </si>
  <si>
    <t>Average</t>
    <phoneticPr fontId="4" type="noConversion"/>
  </si>
  <si>
    <t>Carbonate</t>
    <phoneticPr fontId="1" type="noConversion"/>
  </si>
  <si>
    <r>
      <t>d</t>
    </r>
    <r>
      <rPr>
        <b/>
        <vertAlign val="superscript"/>
        <sz val="12"/>
        <rFont val="Times New Roman"/>
        <family val="1"/>
      </rPr>
      <t>18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V-SMOW</t>
    </r>
    <r>
      <rPr>
        <b/>
        <sz val="12"/>
        <rFont val="Times New Roman"/>
        <family val="1"/>
      </rPr>
      <t>(‰)</t>
    </r>
    <phoneticPr fontId="1" type="noConversion"/>
  </si>
  <si>
    <r>
      <t>d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>C</t>
    </r>
    <r>
      <rPr>
        <b/>
        <vertAlign val="subscript"/>
        <sz val="12"/>
        <rFont val="Times New Roman"/>
        <family val="1"/>
      </rPr>
      <t>V-PDB</t>
    </r>
    <r>
      <rPr>
        <b/>
        <sz val="12"/>
        <rFont val="Times New Roman"/>
        <family val="1"/>
      </rPr>
      <t>(‰)</t>
    </r>
    <phoneticPr fontId="1" type="noConversion"/>
  </si>
  <si>
    <t>Analytical material for Ca, C and O isotopes</t>
    <phoneticPr fontId="4" type="noConversion"/>
  </si>
  <si>
    <t>Samples ID</t>
    <phoneticPr fontId="4" type="noConversion"/>
  </si>
  <si>
    <t>Cpx/%</t>
    <phoneticPr fontId="4" type="noConversion"/>
  </si>
  <si>
    <t>Ca in cpx/%</t>
    <phoneticPr fontId="4" type="noConversion"/>
  </si>
  <si>
    <t>frac.Ca.cpx</t>
    <phoneticPr fontId="4" type="noConversion"/>
  </si>
  <si>
    <t>Opx/%</t>
    <phoneticPr fontId="4" type="noConversion"/>
  </si>
  <si>
    <t>Ca in opx/%</t>
    <phoneticPr fontId="4" type="noConversion"/>
  </si>
  <si>
    <t>frac.Ca.opx</t>
    <phoneticPr fontId="4" type="noConversion"/>
  </si>
  <si>
    <t>Grt/%</t>
    <phoneticPr fontId="4" type="noConversion"/>
  </si>
  <si>
    <t>Ca in grt/%</t>
    <phoneticPr fontId="4" type="noConversion"/>
  </si>
  <si>
    <t>frac.Ca.grt</t>
    <phoneticPr fontId="4" type="noConversion"/>
  </si>
  <si>
    <t>Ol/%</t>
    <phoneticPr fontId="4" type="noConversion"/>
  </si>
  <si>
    <t>Ca in ol/%</t>
    <phoneticPr fontId="4" type="noConversion"/>
  </si>
  <si>
    <t>frac.Ca.ol</t>
    <phoneticPr fontId="4" type="noConversion"/>
  </si>
  <si>
    <t>Dol/%</t>
    <phoneticPr fontId="4" type="noConversion"/>
  </si>
  <si>
    <t>Ca in dol/%</t>
    <phoneticPr fontId="4" type="noConversion"/>
  </si>
  <si>
    <t>frac.Ca.dol</t>
    <phoneticPr fontId="4" type="noConversion"/>
  </si>
  <si>
    <t>δ44/42Ca.melt</t>
    <phoneticPr fontId="4" type="noConversion"/>
  </si>
  <si>
    <t>A471-mod</t>
    <phoneticPr fontId="1" type="noConversion"/>
  </si>
  <si>
    <t>A482-mod</t>
    <phoneticPr fontId="1" type="noConversion"/>
  </si>
  <si>
    <t>A509-mod</t>
    <phoneticPr fontId="1" type="noConversion"/>
  </si>
  <si>
    <t>δ44/42Ca.peridotite</t>
    <phoneticPr fontId="1" type="noConversion"/>
  </si>
  <si>
    <r>
      <rPr>
        <sz val="12"/>
        <rFont val="宋体"/>
        <family val="3"/>
        <charset val="134"/>
      </rPr>
      <t>△</t>
    </r>
    <r>
      <rPr>
        <sz val="12"/>
        <rFont val="Times New Roman"/>
        <family val="1"/>
      </rPr>
      <t>44/42Ca.cpx-melt</t>
    </r>
    <phoneticPr fontId="4" type="noConversion"/>
  </si>
  <si>
    <r>
      <rPr>
        <sz val="12"/>
        <rFont val="宋体"/>
        <family val="3"/>
        <charset val="134"/>
      </rPr>
      <t>△</t>
    </r>
    <r>
      <rPr>
        <sz val="12"/>
        <rFont val="Times New Roman"/>
        <family val="1"/>
      </rPr>
      <t>44/42Ca.opx-melt</t>
    </r>
    <phoneticPr fontId="4" type="noConversion"/>
  </si>
  <si>
    <r>
      <rPr>
        <sz val="12"/>
        <rFont val="宋体"/>
        <family val="3"/>
        <charset val="134"/>
      </rPr>
      <t>△</t>
    </r>
    <r>
      <rPr>
        <sz val="12"/>
        <rFont val="Times New Roman"/>
        <family val="1"/>
      </rPr>
      <t>44/42Ca.grt-melt</t>
    </r>
    <phoneticPr fontId="4" type="noConversion"/>
  </si>
  <si>
    <r>
      <rPr>
        <sz val="12"/>
        <rFont val="宋体"/>
        <family val="3"/>
        <charset val="134"/>
      </rPr>
      <t>△</t>
    </r>
    <r>
      <rPr>
        <sz val="12"/>
        <rFont val="Times New Roman"/>
        <family val="1"/>
      </rPr>
      <t>44/42Ca.ol-melt</t>
    </r>
    <phoneticPr fontId="4" type="noConversion"/>
  </si>
  <si>
    <r>
      <rPr>
        <sz val="12"/>
        <rFont val="宋体"/>
        <family val="3"/>
        <charset val="134"/>
      </rPr>
      <t>△</t>
    </r>
    <r>
      <rPr>
        <sz val="12"/>
        <rFont val="Times New Roman"/>
        <family val="1"/>
      </rPr>
      <t>44/42Ca.dol-melt</t>
    </r>
    <phoneticPr fontId="4" type="noConversion"/>
  </si>
  <si>
    <t>References</t>
    <phoneticPr fontId="1" type="noConversion"/>
  </si>
  <si>
    <r>
      <t>Assumed T/</t>
    </r>
    <r>
      <rPr>
        <sz val="12"/>
        <rFont val="宋体"/>
        <family val="3"/>
        <charset val="134"/>
      </rPr>
      <t>℃</t>
    </r>
    <phoneticPr fontId="4" type="noConversion"/>
  </si>
  <si>
    <t>Excepted melts</t>
    <phoneticPr fontId="1" type="noConversion"/>
  </si>
  <si>
    <t>MORB</t>
    <phoneticPr fontId="1" type="noConversion"/>
  </si>
  <si>
    <t>OIB</t>
    <phoneticPr fontId="1" type="noConversion"/>
  </si>
  <si>
    <t>BSE (spinel peridotite)</t>
    <phoneticPr fontId="1" type="noConversion"/>
  </si>
  <si>
    <t>Initial peridotite materials</t>
    <phoneticPr fontId="4" type="noConversion"/>
  </si>
  <si>
    <t>KLB-1ox (peridotite) stabilized at 3GPa</t>
    <phoneticPr fontId="4" type="noConversion"/>
  </si>
  <si>
    <t>PERC3(peridotite+1wt%CO2) stabilized at 3GPa</t>
    <phoneticPr fontId="1" type="noConversion"/>
  </si>
  <si>
    <t>PERC(peridotite+2.5wt%CO2) stabilized at 3GPa</t>
    <phoneticPr fontId="1" type="noConversion"/>
  </si>
  <si>
    <t xml:space="preserve">OIB / Carbonatite </t>
    <phoneticPr fontId="1" type="noConversion"/>
  </si>
  <si>
    <t>Initial material compositions used for modeling</t>
    <phoneticPr fontId="1" type="noConversion"/>
  </si>
  <si>
    <r>
      <rPr>
        <b/>
        <sz val="12"/>
        <rFont val="宋体"/>
        <family val="3"/>
        <charset val="134"/>
      </rPr>
      <t>△</t>
    </r>
    <r>
      <rPr>
        <b/>
        <sz val="12"/>
        <rFont val="Times New Roman"/>
        <family val="1"/>
      </rPr>
      <t>44/42Ca.peridotite-melt</t>
    </r>
    <phoneticPr fontId="4" type="noConversion"/>
  </si>
  <si>
    <t>Modeling results for Ca isotope fractionation during partial melting</t>
    <phoneticPr fontId="1" type="noConversion"/>
  </si>
  <si>
    <r>
      <t>2SD</t>
    </r>
    <r>
      <rPr>
        <b/>
        <vertAlign val="subscript"/>
        <sz val="12"/>
        <rFont val="Times New Roman"/>
        <family val="1"/>
      </rPr>
      <t>-ex</t>
    </r>
    <r>
      <rPr>
        <b/>
        <vertAlign val="superscript"/>
        <sz val="12"/>
        <rFont val="Times New Roman"/>
        <family val="1"/>
      </rPr>
      <t>1</t>
    </r>
    <phoneticPr fontId="4" type="noConversion"/>
  </si>
  <si>
    <r>
      <t>2SE</t>
    </r>
    <r>
      <rPr>
        <b/>
        <vertAlign val="subscript"/>
        <sz val="12"/>
        <rFont val="Times New Roman"/>
        <family val="1"/>
      </rPr>
      <t>-ex</t>
    </r>
    <r>
      <rPr>
        <b/>
        <vertAlign val="superscript"/>
        <sz val="12"/>
        <rFont val="Times New Roman"/>
        <family val="1"/>
      </rPr>
      <t>2</t>
    </r>
    <phoneticPr fontId="4" type="noConversion"/>
  </si>
  <si>
    <r>
      <t>n</t>
    </r>
    <r>
      <rPr>
        <b/>
        <vertAlign val="superscript"/>
        <sz val="12"/>
        <rFont val="Times New Roman"/>
        <family val="1"/>
      </rPr>
      <t>3</t>
    </r>
    <phoneticPr fontId="4" type="noConversion"/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</si>
  <si>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2SD</t>
    </r>
    <r>
      <rPr>
        <vertAlign val="subscript"/>
        <sz val="12"/>
        <rFont val="Times New Roman"/>
        <family val="1"/>
      </rPr>
      <t>-ex</t>
    </r>
    <r>
      <rPr>
        <sz val="12"/>
        <rFont val="Times New Roman"/>
        <family val="1"/>
      </rPr>
      <t>, long-term external two standard deviation.</t>
    </r>
    <phoneticPr fontId="1" type="noConversion"/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</si>
  <si>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2SE</t>
    </r>
    <r>
      <rPr>
        <vertAlign val="subscript"/>
        <sz val="12"/>
        <rFont val="Times New Roman"/>
        <family val="1"/>
      </rPr>
      <t>-ex</t>
    </r>
    <r>
      <rPr>
        <sz val="12"/>
        <rFont val="Times New Roman"/>
        <family val="1"/>
      </rPr>
      <t>= 2SD</t>
    </r>
    <r>
      <rPr>
        <vertAlign val="subscript"/>
        <sz val="12"/>
        <rFont val="Times New Roman"/>
        <family val="1"/>
      </rPr>
      <t>-ex</t>
    </r>
    <r>
      <rPr>
        <sz val="12"/>
        <rFont val="Times New Roman"/>
        <family val="1"/>
      </rPr>
      <t xml:space="preserve"> /√n.</t>
    </r>
    <phoneticPr fontId="1" type="noConversion"/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</si>
  <si>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n, number of measurement sessions.</t>
    </r>
    <phoneticPr fontId="1" type="noConversion"/>
  </si>
  <si>
    <t>WR, whole rock.</t>
    <phoneticPr fontId="1" type="noConversion"/>
  </si>
  <si>
    <t>Mushgai  Khudag, Mongolia</t>
    <phoneticPr fontId="4" type="noConversion"/>
  </si>
  <si>
    <t>Oka200a</t>
    <phoneticPr fontId="4" type="noConversion"/>
  </si>
  <si>
    <t>Brava, Cape Verde</t>
    <phoneticPr fontId="1" type="noConversion"/>
  </si>
  <si>
    <t>BR18-A</t>
    <phoneticPr fontId="1" type="noConversion"/>
  </si>
  <si>
    <t>BR18-E</t>
    <phoneticPr fontId="1" type="noConversion"/>
  </si>
  <si>
    <t>BR18-G</t>
    <phoneticPr fontId="1" type="noConversion"/>
  </si>
  <si>
    <t>Catalão, Brazil</t>
    <phoneticPr fontId="1" type="noConversion"/>
  </si>
  <si>
    <t>&lt;3</t>
    <phoneticPr fontId="1" type="noConversion"/>
  </si>
  <si>
    <t>Bx5</t>
    <phoneticPr fontId="1" type="noConversion"/>
  </si>
  <si>
    <t>&gt;2.29</t>
  </si>
  <si>
    <t>This study (DS-TIMS)</t>
    <phoneticPr fontId="1" type="noConversion"/>
  </si>
  <si>
    <t>82LM66A</t>
    <phoneticPr fontId="1" type="noConversion"/>
  </si>
  <si>
    <t>83HV26</t>
    <phoneticPr fontId="1" type="noConversion"/>
  </si>
  <si>
    <t>Magnesio-carbonatite</t>
    <phoneticPr fontId="1" type="noConversion"/>
  </si>
  <si>
    <t>Calcio-carbonatite</t>
    <phoneticPr fontId="1" type="noConversion"/>
  </si>
  <si>
    <t>Cape Verde</t>
    <phoneticPr fontId="1" type="noConversion"/>
  </si>
  <si>
    <r>
      <t xml:space="preserve">He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</t>
    </r>
    <phoneticPr fontId="1" type="noConversion"/>
  </si>
  <si>
    <r>
      <t xml:space="preserve">Feng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</t>
    </r>
    <phoneticPr fontId="1" type="noConversion"/>
  </si>
  <si>
    <r>
      <t xml:space="preserve">Li </t>
    </r>
    <r>
      <rPr>
        <i/>
        <sz val="12"/>
        <rFont val="Times New Roman"/>
        <family val="1"/>
      </rPr>
      <t>et al</t>
    </r>
    <r>
      <rPr>
        <sz val="12"/>
        <rFont val="Times New Roman"/>
        <family val="1"/>
      </rPr>
      <t>., 2018</t>
    </r>
    <phoneticPr fontId="1" type="noConversion"/>
  </si>
  <si>
    <r>
      <t xml:space="preserve">Amini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2009</t>
    </r>
    <phoneticPr fontId="1" type="noConversion"/>
  </si>
  <si>
    <r>
      <t xml:space="preserve">Hoernle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2002</t>
    </r>
    <phoneticPr fontId="1" type="noConversion"/>
  </si>
  <si>
    <r>
      <t>Doroshkevich</t>
    </r>
    <r>
      <rPr>
        <i/>
        <sz val="12"/>
        <rFont val="Times New Roman"/>
        <family val="1"/>
      </rPr>
      <t xml:space="preserve"> et al.</t>
    </r>
    <r>
      <rPr>
        <sz val="12"/>
        <rFont val="Times New Roman"/>
        <family val="1"/>
      </rPr>
      <t>, 2016</t>
    </r>
    <phoneticPr fontId="4" type="noConversion"/>
  </si>
  <si>
    <r>
      <t xml:space="preserve">Cheng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</t>
    </r>
    <phoneticPr fontId="4" type="noConversion"/>
  </si>
  <si>
    <r>
      <t xml:space="preserve">Chen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2018</t>
    </r>
    <phoneticPr fontId="4" type="noConversion"/>
  </si>
  <si>
    <r>
      <t xml:space="preserve">Doroshkevich </t>
    </r>
    <r>
      <rPr>
        <i/>
        <sz val="12"/>
        <rFont val="Times New Roman"/>
        <family val="1"/>
      </rPr>
      <t>et a.</t>
    </r>
    <r>
      <rPr>
        <sz val="12"/>
        <rFont val="Times New Roman"/>
        <family val="1"/>
      </rPr>
      <t>, 2017</t>
    </r>
    <phoneticPr fontId="4" type="noConversion"/>
  </si>
  <si>
    <r>
      <t>note: Equilibrium Ca isotope fractionation factors are from Chen</t>
    </r>
    <r>
      <rPr>
        <i/>
        <sz val="12"/>
        <rFont val="Times New Roman"/>
        <family val="1"/>
      </rPr>
      <t xml:space="preserve"> et al.</t>
    </r>
    <r>
      <rPr>
        <sz val="12"/>
        <rFont val="Times New Roman"/>
        <family val="1"/>
      </rPr>
      <t xml:space="preserve">, 2020; Huang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 xml:space="preserve">, 2019 and Zhang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 xml:space="preserve">, 2018. </t>
    </r>
    <phoneticPr fontId="1" type="noConversion"/>
  </si>
  <si>
    <r>
      <t>Niu</t>
    </r>
    <r>
      <rPr>
        <i/>
        <sz val="12"/>
        <rFont val="Times New Roman"/>
        <family val="1"/>
      </rPr>
      <t xml:space="preserve"> et al.</t>
    </r>
    <r>
      <rPr>
        <sz val="12"/>
        <rFont val="Times New Roman"/>
        <family val="1"/>
      </rPr>
      <t>, 1997</t>
    </r>
    <phoneticPr fontId="1" type="noConversion"/>
  </si>
  <si>
    <r>
      <t xml:space="preserve">Davis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2011</t>
    </r>
    <phoneticPr fontId="4" type="noConversion"/>
  </si>
  <si>
    <r>
      <t xml:space="preserve">Dasgupta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2007</t>
    </r>
    <phoneticPr fontId="1" type="noConversion"/>
  </si>
  <si>
    <r>
      <t xml:space="preserve">Liu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2017b</t>
    </r>
    <phoneticPr fontId="1" type="noConversion"/>
  </si>
  <si>
    <t>Chen and Simonetti, 2015</t>
  </si>
  <si>
    <r>
      <rPr>
        <b/>
        <sz val="12"/>
        <rFont val="Arial"/>
        <family val="2"/>
      </rPr>
      <t>Table S-1</t>
    </r>
    <r>
      <rPr>
        <sz val="12"/>
        <rFont val="Arial"/>
        <family val="2"/>
      </rPr>
      <t xml:space="preserve"> Major elemental, and C, O and Ca stable isotope compositions of carbonatite and associated alkaline silicate rocks.</t>
    </r>
  </si>
  <si>
    <r>
      <rPr>
        <b/>
        <sz val="12"/>
        <rFont val="Arial"/>
        <family val="2"/>
      </rPr>
      <t>Table S-5</t>
    </r>
    <r>
      <rPr>
        <sz val="12"/>
        <rFont val="Arial"/>
        <family val="2"/>
      </rPr>
      <t xml:space="preserve"> Ca isotope compositions of different experimental partial melts at different temperatures.</t>
    </r>
  </si>
  <si>
    <t>Published by the European Association of Geochemistry under Creative Commons License CC-BY-NC-ND.</t>
  </si>
  <si>
    <t xml:space="preserve">© 2021 The Authors 
</t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</si>
  <si>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Data source for Ca isotopes: This study, data measured in CAGS using SSB-MC-ICPMS method; This study (DS-TIMS), data measured in CUGB using He </t>
    </r>
    <r>
      <rPr>
        <i/>
        <sz val="12"/>
        <rFont val="Times New Roman"/>
        <family val="1"/>
      </rPr>
      <t>et al</t>
    </r>
    <r>
      <rPr>
        <sz val="12"/>
        <rFont val="Times New Roman"/>
        <family val="1"/>
      </rPr>
      <t>. (2017)'s DS-TIMS method.</t>
    </r>
  </si>
  <si>
    <r>
      <t>Sun</t>
    </r>
    <r>
      <rPr>
        <i/>
        <sz val="10"/>
        <color theme="1"/>
        <rFont val="Calibri"/>
        <family val="2"/>
        <scheme val="minor"/>
      </rPr>
      <t xml:space="preserve"> et al. </t>
    </r>
    <r>
      <rPr>
        <sz val="10"/>
        <color indexed="8"/>
        <rFont val="Calibri"/>
        <family val="2"/>
        <scheme val="minor"/>
      </rPr>
      <t xml:space="preserve">(2021) </t>
    </r>
    <r>
      <rPr>
        <i/>
        <sz val="10"/>
        <color indexed="8"/>
        <rFont val="Calibri"/>
        <family val="2"/>
        <scheme val="minor"/>
      </rPr>
      <t>Geochem. Persp. Let.</t>
    </r>
    <r>
      <rPr>
        <sz val="10"/>
        <color rgb="FF000000"/>
        <rFont val="Calibri"/>
        <family val="2"/>
        <scheme val="minor"/>
      </rPr>
      <t xml:space="preserve"> 17</t>
    </r>
    <r>
      <rPr>
        <sz val="10"/>
        <color indexed="8"/>
        <rFont val="Calibri"/>
        <family val="2"/>
        <scheme val="minor"/>
      </rPr>
      <t xml:space="preserve">, </t>
    </r>
    <r>
      <rPr>
        <sz val="10"/>
        <color theme="1"/>
        <rFont val="Calibri"/>
        <family val="2"/>
        <scheme val="minor"/>
      </rPr>
      <t>11-15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| doi: 10.7185/geochemlet.2107
</t>
    </r>
  </si>
  <si>
    <r>
      <t>Sun</t>
    </r>
    <r>
      <rPr>
        <i/>
        <sz val="10"/>
        <color theme="1"/>
        <rFont val="Calibri"/>
        <family val="2"/>
        <scheme val="minor"/>
      </rPr>
      <t xml:space="preserve"> et al. </t>
    </r>
    <r>
      <rPr>
        <sz val="10"/>
        <color indexed="8"/>
        <rFont val="Calibri"/>
        <family val="2"/>
        <scheme val="minor"/>
      </rPr>
      <t xml:space="preserve">(2021) </t>
    </r>
    <r>
      <rPr>
        <i/>
        <sz val="10"/>
        <color indexed="8"/>
        <rFont val="Calibri"/>
        <family val="2"/>
        <scheme val="minor"/>
      </rPr>
      <t>Geochem. Persp. Let.</t>
    </r>
    <r>
      <rPr>
        <sz val="10"/>
        <color rgb="FF000000"/>
        <rFont val="Calibri"/>
        <family val="2"/>
        <scheme val="minor"/>
      </rPr>
      <t xml:space="preserve"> 17</t>
    </r>
    <r>
      <rPr>
        <sz val="10"/>
        <color indexed="8"/>
        <rFont val="Calibri"/>
        <family val="2"/>
        <scheme val="minor"/>
      </rPr>
      <t>, 11-15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| doi: 10.7185/geochemlet.2107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</si>
</sst>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_ "/>
    <numFmt numFmtId="165" formatCode="0.00_ "/>
    <numFmt numFmtId="166" formatCode="0.0"/>
    <numFmt numFmtId="167" formatCode="0_ "/>
    <numFmt numFmtId="168" formatCode="0.000"/>
    <numFmt numFmtId="169" formatCode="0.00_);[Red]\(0.00\)"/>
    <numFmt numFmtId="170" formatCode="0.000_ "/>
  </numFmts>
  <fonts count="34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Times New Roman"/>
      <family val="1"/>
    </font>
    <font>
      <sz val="11.75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theme="1"/>
      <name val="Arial"/>
      <family val="2"/>
    </font>
    <font>
      <sz val="12"/>
      <name val="宋体"/>
      <family val="3"/>
      <charset val="134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3"/>
      <charset val="134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2"/>
      <color rgb="FF00206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center"/>
    </xf>
  </cellStyleXfs>
  <cellXfs count="145">
    <xf numFmtId="0" fontId="0" fillId="0" borderId="0" xfId="0">
      <alignment vertical="center"/>
    </xf>
    <xf numFmtId="164" fontId="10" fillId="0" borderId="0" xfId="6" applyNumberFormat="1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left"/>
    </xf>
    <xf numFmtId="2" fontId="10" fillId="0" borderId="0" xfId="6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vertical="center"/>
    </xf>
    <xf numFmtId="0" fontId="10" fillId="0" borderId="2" xfId="6" applyFont="1" applyFill="1" applyBorder="1" applyAlignment="1">
      <alignment horizontal="center"/>
    </xf>
    <xf numFmtId="2" fontId="10" fillId="0" borderId="2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0" fontId="10" fillId="0" borderId="0" xfId="6" applyFont="1" applyFill="1" applyBorder="1"/>
    <xf numFmtId="0" fontId="10" fillId="0" borderId="0" xfId="6" applyFont="1" applyFill="1" applyBorder="1" applyAlignment="1">
      <alignment horizontal="left" vertical="center"/>
    </xf>
    <xf numFmtId="2" fontId="10" fillId="0" borderId="0" xfId="6" applyNumberFormat="1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0" fontId="10" fillId="0" borderId="0" xfId="1" applyFont="1" applyFill="1" applyBorder="1">
      <alignment vertical="center"/>
    </xf>
    <xf numFmtId="165" fontId="10" fillId="0" borderId="0" xfId="1" applyNumberFormat="1" applyFont="1" applyFill="1" applyBorder="1" applyAlignment="1">
      <alignment horizontal="center" vertical="center"/>
    </xf>
    <xf numFmtId="166" fontId="10" fillId="0" borderId="0" xfId="6" applyNumberFormat="1" applyFont="1" applyFill="1" applyBorder="1" applyAlignment="1">
      <alignment horizontal="center" vertical="center"/>
    </xf>
    <xf numFmtId="166" fontId="10" fillId="0" borderId="0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 vertical="center"/>
    </xf>
    <xf numFmtId="167" fontId="10" fillId="0" borderId="0" xfId="6" applyNumberFormat="1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168" fontId="10" fillId="0" borderId="0" xfId="6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0" fontId="10" fillId="0" borderId="0" xfId="6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7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left" vertical="center"/>
    </xf>
    <xf numFmtId="2" fontId="10" fillId="0" borderId="0" xfId="6" applyNumberFormat="1" applyFont="1" applyFill="1" applyBorder="1" applyAlignment="1">
      <alignment horizontal="left" vertical="center"/>
    </xf>
    <xf numFmtId="0" fontId="11" fillId="0" borderId="0" xfId="6" applyFont="1" applyFill="1" applyBorder="1" applyAlignment="1">
      <alignment vertical="center" wrapText="1"/>
    </xf>
    <xf numFmtId="169" fontId="10" fillId="0" borderId="0" xfId="6" applyNumberFormat="1" applyFont="1" applyFill="1" applyBorder="1" applyAlignment="1">
      <alignment horizontal="center" vertical="center"/>
    </xf>
    <xf numFmtId="169" fontId="10" fillId="0" borderId="0" xfId="6" applyNumberFormat="1" applyFont="1" applyFill="1" applyBorder="1" applyAlignment="1">
      <alignment horizontal="center"/>
    </xf>
    <xf numFmtId="165" fontId="16" fillId="0" borderId="0" xfId="6" applyNumberFormat="1" applyFont="1" applyFill="1" applyBorder="1" applyAlignment="1">
      <alignment horizontal="center" vertical="center"/>
    </xf>
    <xf numFmtId="169" fontId="16" fillId="0" borderId="0" xfId="6" applyNumberFormat="1" applyFont="1" applyFill="1" applyBorder="1" applyAlignment="1">
      <alignment horizontal="center" vertical="center"/>
    </xf>
    <xf numFmtId="167" fontId="16" fillId="0" borderId="0" xfId="6" applyNumberFormat="1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left" vertical="center"/>
    </xf>
    <xf numFmtId="166" fontId="10" fillId="0" borderId="0" xfId="1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left" vertical="center"/>
    </xf>
    <xf numFmtId="0" fontId="10" fillId="0" borderId="0" xfId="6" applyFont="1" applyFill="1"/>
    <xf numFmtId="0" fontId="10" fillId="0" borderId="0" xfId="6" applyFont="1" applyFill="1" applyAlignment="1">
      <alignment horizontal="center"/>
    </xf>
    <xf numFmtId="0" fontId="10" fillId="0" borderId="3" xfId="6" applyFont="1" applyFill="1" applyBorder="1"/>
    <xf numFmtId="0" fontId="10" fillId="0" borderId="3" xfId="6" applyFont="1" applyFill="1" applyBorder="1" applyAlignment="1">
      <alignment horizontal="center"/>
    </xf>
    <xf numFmtId="2" fontId="10" fillId="0" borderId="3" xfId="6" applyNumberFormat="1" applyFont="1" applyFill="1" applyBorder="1" applyAlignment="1">
      <alignment horizontal="center"/>
    </xf>
    <xf numFmtId="165" fontId="10" fillId="0" borderId="3" xfId="6" applyNumberFormat="1" applyFont="1" applyFill="1" applyBorder="1" applyAlignment="1">
      <alignment horizontal="center"/>
    </xf>
    <xf numFmtId="0" fontId="10" fillId="0" borderId="2" xfId="6" applyFont="1" applyFill="1" applyBorder="1"/>
    <xf numFmtId="165" fontId="10" fillId="0" borderId="2" xfId="6" applyNumberFormat="1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170" fontId="10" fillId="0" borderId="0" xfId="6" applyNumberFormat="1" applyFont="1" applyFill="1" applyBorder="1" applyAlignment="1">
      <alignment horizontal="center"/>
    </xf>
    <xf numFmtId="0" fontId="10" fillId="0" borderId="1" xfId="6" applyFont="1" applyFill="1" applyBorder="1"/>
    <xf numFmtId="0" fontId="10" fillId="0" borderId="1" xfId="6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9" xfId="6" applyFont="1" applyFill="1" applyBorder="1"/>
    <xf numFmtId="0" fontId="10" fillId="0" borderId="10" xfId="6" applyFont="1" applyFill="1" applyBorder="1"/>
    <xf numFmtId="0" fontId="10" fillId="0" borderId="6" xfId="6" applyFont="1" applyFill="1" applyBorder="1"/>
    <xf numFmtId="165" fontId="10" fillId="0" borderId="11" xfId="6" applyNumberFormat="1" applyFont="1" applyFill="1" applyBorder="1" applyAlignment="1">
      <alignment horizontal="center"/>
    </xf>
    <xf numFmtId="165" fontId="10" fillId="0" borderId="12" xfId="6" applyNumberFormat="1" applyFont="1" applyFill="1" applyBorder="1" applyAlignment="1">
      <alignment horizontal="center"/>
    </xf>
    <xf numFmtId="0" fontId="10" fillId="0" borderId="15" xfId="6" applyFont="1" applyFill="1" applyBorder="1"/>
    <xf numFmtId="0" fontId="10" fillId="0" borderId="11" xfId="6" applyFont="1" applyFill="1" applyBorder="1"/>
    <xf numFmtId="0" fontId="10" fillId="0" borderId="12" xfId="6" applyFont="1" applyFill="1" applyBorder="1"/>
    <xf numFmtId="166" fontId="10" fillId="0" borderId="15" xfId="6" applyNumberFormat="1" applyFont="1" applyFill="1" applyBorder="1" applyAlignment="1">
      <alignment horizontal="center"/>
    </xf>
    <xf numFmtId="166" fontId="10" fillId="0" borderId="11" xfId="6" applyNumberFormat="1" applyFont="1" applyFill="1" applyBorder="1" applyAlignment="1">
      <alignment horizontal="center"/>
    </xf>
    <xf numFmtId="0" fontId="10" fillId="0" borderId="4" xfId="6" applyFont="1" applyFill="1" applyBorder="1"/>
    <xf numFmtId="0" fontId="9" fillId="0" borderId="4" xfId="0" applyFont="1" applyFill="1" applyBorder="1" applyAlignment="1">
      <alignment horizontal="center" vertical="center"/>
    </xf>
    <xf numFmtId="2" fontId="10" fillId="0" borderId="4" xfId="6" applyNumberFormat="1" applyFont="1" applyFill="1" applyBorder="1" applyAlignment="1">
      <alignment horizontal="center"/>
    </xf>
    <xf numFmtId="166" fontId="10" fillId="0" borderId="16" xfId="6" applyNumberFormat="1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6" xfId="6" applyFont="1" applyFill="1" applyBorder="1" applyAlignment="1">
      <alignment horizontal="center"/>
    </xf>
    <xf numFmtId="0" fontId="10" fillId="0" borderId="14" xfId="6" applyFont="1" applyFill="1" applyBorder="1" applyAlignment="1">
      <alignment horizontal="center"/>
    </xf>
    <xf numFmtId="0" fontId="10" fillId="0" borderId="13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center"/>
    </xf>
    <xf numFmtId="165" fontId="10" fillId="0" borderId="4" xfId="6" applyNumberFormat="1" applyFont="1" applyFill="1" applyBorder="1" applyAlignment="1">
      <alignment horizontal="center"/>
    </xf>
    <xf numFmtId="165" fontId="10" fillId="0" borderId="15" xfId="6" applyNumberFormat="1" applyFont="1" applyFill="1" applyBorder="1" applyAlignment="1">
      <alignment horizontal="center"/>
    </xf>
    <xf numFmtId="165" fontId="10" fillId="0" borderId="16" xfId="6" applyNumberFormat="1" applyFont="1" applyFill="1" applyBorder="1" applyAlignment="1">
      <alignment horizontal="center"/>
    </xf>
    <xf numFmtId="0" fontId="20" fillId="0" borderId="1" xfId="6" applyFont="1" applyFill="1" applyBorder="1"/>
    <xf numFmtId="0" fontId="11" fillId="0" borderId="1" xfId="1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9" fontId="11" fillId="0" borderId="1" xfId="1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/>
    </xf>
    <xf numFmtId="0" fontId="10" fillId="0" borderId="2" xfId="6" applyFont="1" applyFill="1" applyBorder="1" applyAlignment="1">
      <alignment horizontal="left" vertical="center" wrapText="1"/>
    </xf>
    <xf numFmtId="0" fontId="10" fillId="0" borderId="2" xfId="6" applyFont="1" applyFill="1" applyBorder="1" applyAlignment="1">
      <alignment horizontal="left" vertical="center"/>
    </xf>
    <xf numFmtId="0" fontId="10" fillId="0" borderId="2" xfId="4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2" xfId="10" applyFont="1" applyFill="1" applyBorder="1" applyAlignment="1">
      <alignment horizontal="center" vertical="center"/>
    </xf>
    <xf numFmtId="164" fontId="10" fillId="0" borderId="2" xfId="6" applyNumberFormat="1" applyFont="1" applyFill="1" applyBorder="1" applyAlignment="1">
      <alignment horizontal="center" vertical="center"/>
    </xf>
    <xf numFmtId="165" fontId="10" fillId="0" borderId="2" xfId="6" applyNumberFormat="1" applyFont="1" applyFill="1" applyBorder="1" applyAlignment="1">
      <alignment horizontal="center" vertical="center"/>
    </xf>
    <xf numFmtId="169" fontId="10" fillId="0" borderId="2" xfId="6" applyNumberFormat="1" applyFont="1" applyFill="1" applyBorder="1" applyAlignment="1">
      <alignment horizontal="center" vertical="center"/>
    </xf>
    <xf numFmtId="167" fontId="10" fillId="0" borderId="2" xfId="6" applyNumberFormat="1" applyFont="1" applyFill="1" applyBorder="1" applyAlignment="1">
      <alignment horizontal="center" vertical="center"/>
    </xf>
    <xf numFmtId="2" fontId="10" fillId="0" borderId="2" xfId="6" applyNumberFormat="1" applyFont="1" applyFill="1" applyBorder="1" applyAlignment="1">
      <alignment horizontal="left" vertical="center"/>
    </xf>
    <xf numFmtId="166" fontId="10" fillId="0" borderId="2" xfId="1" applyNumberFormat="1" applyFont="1" applyFill="1" applyBorder="1" applyAlignment="1">
      <alignment horizontal="left" vertical="center"/>
    </xf>
    <xf numFmtId="2" fontId="11" fillId="0" borderId="0" xfId="6" applyNumberFormat="1" applyFont="1" applyFill="1" applyBorder="1" applyAlignment="1">
      <alignment horizontal="center"/>
    </xf>
    <xf numFmtId="2" fontId="11" fillId="0" borderId="2" xfId="6" applyNumberFormat="1" applyFont="1" applyFill="1" applyBorder="1" applyAlignment="1">
      <alignment horizontal="center"/>
    </xf>
    <xf numFmtId="2" fontId="11" fillId="0" borderId="3" xfId="6" applyNumberFormat="1" applyFont="1" applyFill="1" applyBorder="1" applyAlignment="1">
      <alignment horizontal="center"/>
    </xf>
    <xf numFmtId="2" fontId="11" fillId="0" borderId="4" xfId="6" applyNumberFormat="1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left" vertical="center"/>
    </xf>
    <xf numFmtId="166" fontId="10" fillId="0" borderId="0" xfId="1" applyNumberFormat="1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left" vertical="center"/>
    </xf>
    <xf numFmtId="165" fontId="23" fillId="0" borderId="0" xfId="6" applyNumberFormat="1" applyFont="1" applyFill="1" applyBorder="1" applyAlignment="1">
      <alignment horizontal="center"/>
    </xf>
    <xf numFmtId="165" fontId="23" fillId="0" borderId="2" xfId="6" applyNumberFormat="1" applyFont="1" applyFill="1" applyBorder="1" applyAlignment="1">
      <alignment horizontal="center"/>
    </xf>
    <xf numFmtId="165" fontId="23" fillId="0" borderId="4" xfId="6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vertical="center"/>
    </xf>
    <xf numFmtId="164" fontId="10" fillId="0" borderId="2" xfId="1" applyNumberFormat="1" applyFont="1" applyFill="1" applyBorder="1" applyAlignment="1">
      <alignment horizontal="center" vertical="center"/>
    </xf>
    <xf numFmtId="168" fontId="10" fillId="0" borderId="0" xfId="6" applyNumberFormat="1" applyFont="1" applyFill="1" applyBorder="1" applyAlignment="1">
      <alignment horizontal="center" vertical="center"/>
    </xf>
    <xf numFmtId="165" fontId="10" fillId="0" borderId="0" xfId="6" applyNumberFormat="1" applyFont="1" applyFill="1" applyBorder="1" applyAlignment="1">
      <alignment horizontal="left" vertical="center"/>
    </xf>
    <xf numFmtId="165" fontId="10" fillId="0" borderId="2" xfId="6" applyNumberFormat="1" applyFont="1" applyFill="1" applyBorder="1" applyAlignment="1">
      <alignment horizontal="left" vertical="center"/>
    </xf>
    <xf numFmtId="166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>
      <alignment vertical="center"/>
    </xf>
    <xf numFmtId="165" fontId="11" fillId="0" borderId="0" xfId="1" applyNumberFormat="1" applyFont="1" applyFill="1" applyBorder="1">
      <alignment vertical="center"/>
    </xf>
    <xf numFmtId="0" fontId="16" fillId="0" borderId="0" xfId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5" fillId="0" borderId="0" xfId="6" applyFont="1" applyFill="1" applyBorder="1" applyAlignment="1">
      <alignment vertical="center"/>
    </xf>
    <xf numFmtId="0" fontId="25" fillId="0" borderId="0" xfId="6" applyFont="1" applyFill="1" applyBorder="1" applyAlignment="1">
      <alignment horizontal="left" vertical="center" wrapText="1"/>
    </xf>
    <xf numFmtId="0" fontId="25" fillId="0" borderId="0" xfId="6" applyFont="1" applyFill="1" applyBorder="1" applyAlignment="1">
      <alignment horizontal="left" vertical="center"/>
    </xf>
    <xf numFmtId="0" fontId="25" fillId="0" borderId="0" xfId="6" applyFont="1" applyFill="1" applyBorder="1" applyAlignment="1">
      <alignment horizontal="center" vertical="center"/>
    </xf>
    <xf numFmtId="165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left"/>
    </xf>
    <xf numFmtId="169" fontId="25" fillId="0" borderId="0" xfId="6" applyNumberFormat="1" applyFont="1" applyFill="1" applyBorder="1" applyAlignment="1">
      <alignment horizontal="center"/>
    </xf>
    <xf numFmtId="167" fontId="25" fillId="0" borderId="0" xfId="6" applyNumberFormat="1" applyFont="1" applyFill="1" applyBorder="1" applyAlignment="1">
      <alignment horizontal="center" vertical="center"/>
    </xf>
    <xf numFmtId="164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/>
    <xf numFmtId="0" fontId="25" fillId="0" borderId="0" xfId="6" applyFont="1" applyFill="1"/>
    <xf numFmtId="0" fontId="25" fillId="0" borderId="0" xfId="6" applyFont="1" applyFill="1" applyAlignment="1">
      <alignment horizontal="center"/>
    </xf>
    <xf numFmtId="0" fontId="18" fillId="0" borderId="17" xfId="6" applyFont="1" applyFill="1" applyBorder="1" applyAlignment="1">
      <alignment horizontal="center"/>
    </xf>
    <xf numFmtId="0" fontId="18" fillId="0" borderId="7" xfId="6" applyFont="1" applyFill="1" applyBorder="1" applyAlignment="1">
      <alignment horizontal="center"/>
    </xf>
    <xf numFmtId="0" fontId="18" fillId="0" borderId="8" xfId="6" applyFont="1" applyFill="1" applyBorder="1" applyAlignment="1">
      <alignment horizont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/>
    <xf numFmtId="0" fontId="32" fillId="0" borderId="0" xfId="0" applyFont="1" applyFill="1" applyAlignment="1"/>
  </cellXfs>
  <cellStyles count="11">
    <cellStyle name="Excel Built-in Normal" xfId="5" xr:uid="{CE028316-AE08-9C4F-8E6C-6801A7BC546B}"/>
    <cellStyle name="Normal" xfId="0" builtinId="0"/>
    <cellStyle name="Normal 2" xfId="8" xr:uid="{2ED6DE03-80A6-CA40-B6C1-8E8D4B99883C}"/>
    <cellStyle name="常规 2" xfId="6" xr:uid="{35420358-485A-AF4A-8E5A-06A0C77F07C9}"/>
    <cellStyle name="常规 2 2" xfId="7" xr:uid="{7773CE12-F5FD-C04B-A224-45166FA86354}"/>
    <cellStyle name="常规 3" xfId="9" xr:uid="{D5B3BFBA-4BB9-D445-9964-A49ABC146C95}"/>
    <cellStyle name="常规 4" xfId="3" xr:uid="{39932C07-DE7A-0E47-A8B6-A7822693E143}"/>
    <cellStyle name="常规_C,O同位素--孙剑" xfId="10" xr:uid="{2EDD56D0-D246-3345-B79C-26DCB1851361}"/>
    <cellStyle name="常规_C,O同位素--孙剑2011159" xfId="1" xr:uid="{B54B7D61-C735-A741-B0CF-E5711A779AFD}"/>
    <cellStyle name="常规_SunJ-Fe-2009-12" xfId="4" xr:uid="{DE05F5F9-AE8A-9147-A199-9B01599867CD}"/>
    <cellStyle name="普通 2" xfId="2" xr:uid="{7156768F-C85D-EC41-922A-491FD4C093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0</xdr:row>
      <xdr:rowOff>67732</xdr:rowOff>
    </xdr:from>
    <xdr:to>
      <xdr:col>1</xdr:col>
      <xdr:colOff>964475</xdr:colOff>
      <xdr:row>4</xdr:row>
      <xdr:rowOff>147901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0EFA7A4-E872-4DDA-87F0-1C3DFA70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7" y="67732"/>
          <a:ext cx="2183675" cy="859102"/>
        </a:xfrm>
        <a:prstGeom prst="rect">
          <a:avLst/>
        </a:prstGeom>
      </xdr:spPr>
    </xdr:pic>
    <xdr:clientData/>
  </xdr:twoCellAnchor>
  <xdr:twoCellAnchor>
    <xdr:from>
      <xdr:col>6</xdr:col>
      <xdr:colOff>338666</xdr:colOff>
      <xdr:row>0</xdr:row>
      <xdr:rowOff>160867</xdr:rowOff>
    </xdr:from>
    <xdr:to>
      <xdr:col>11</xdr:col>
      <xdr:colOff>45173</xdr:colOff>
      <xdr:row>4</xdr:row>
      <xdr:rowOff>93667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6B0F3BBF-D8F0-48E8-912C-31CE7D8F2D92}"/>
            </a:ext>
          </a:extLst>
        </xdr:cNvPr>
        <xdr:cNvSpPr txBox="1">
          <a:spLocks noChangeArrowheads="1"/>
        </xdr:cNvSpPr>
      </xdr:nvSpPr>
      <xdr:spPr bwMode="auto">
        <a:xfrm>
          <a:off x="8458199" y="160867"/>
          <a:ext cx="476110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Sun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 isotope systematics of carbonatites: Insights into carbonatite source and evolution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76199</xdr:rowOff>
    </xdr:from>
    <xdr:to>
      <xdr:col>1</xdr:col>
      <xdr:colOff>727409</xdr:colOff>
      <xdr:row>4</xdr:row>
      <xdr:rowOff>156368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D0DEBE-9B58-4CF6-8F94-9A9A82EDB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1" y="76199"/>
          <a:ext cx="2183675" cy="859102"/>
        </a:xfrm>
        <a:prstGeom prst="rect">
          <a:avLst/>
        </a:prstGeom>
      </xdr:spPr>
    </xdr:pic>
    <xdr:clientData/>
  </xdr:twoCellAnchor>
  <xdr:twoCellAnchor>
    <xdr:from>
      <xdr:col>5</xdr:col>
      <xdr:colOff>8466</xdr:colOff>
      <xdr:row>0</xdr:row>
      <xdr:rowOff>143933</xdr:rowOff>
    </xdr:from>
    <xdr:to>
      <xdr:col>11</xdr:col>
      <xdr:colOff>45173</xdr:colOff>
      <xdr:row>4</xdr:row>
      <xdr:rowOff>76733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A34EF8E4-461C-4830-BE2C-E07908D15228}"/>
            </a:ext>
          </a:extLst>
        </xdr:cNvPr>
        <xdr:cNvSpPr txBox="1">
          <a:spLocks noChangeArrowheads="1"/>
        </xdr:cNvSpPr>
      </xdr:nvSpPr>
      <xdr:spPr bwMode="auto">
        <a:xfrm>
          <a:off x="7890933" y="143933"/>
          <a:ext cx="476110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Sun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 isotope systematics of carbonatites: Insights into carbonatite source and evolution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5A731-C275-2A4C-BFA8-43602F9DC92B}">
  <dimension ref="A1:CJ82"/>
  <sheetViews>
    <sheetView tabSelected="1" zoomScale="90" zoomScaleNormal="90" workbookViewId="0">
      <selection activeCell="C2" sqref="C2"/>
    </sheetView>
  </sheetViews>
  <sheetFormatPr defaultColWidth="9" defaultRowHeight="15.6"/>
  <cols>
    <col min="1" max="1" width="16.09765625" style="21" customWidth="1"/>
    <col min="2" max="2" width="21.796875" style="25" customWidth="1"/>
    <col min="3" max="3" width="9.796875" style="11" customWidth="1"/>
    <col min="4" max="4" width="17" style="25" customWidth="1"/>
    <col min="5" max="5" width="14.796875" style="11" customWidth="1"/>
    <col min="6" max="6" width="27.09765625" style="11" customWidth="1"/>
    <col min="7" max="7" width="23" style="25" customWidth="1"/>
    <col min="8" max="8" width="14" style="13" customWidth="1"/>
    <col min="9" max="16" width="9.796875" style="13" customWidth="1"/>
    <col min="17" max="17" width="11.09765625" style="19" customWidth="1"/>
    <col min="18" max="19" width="9.796875" style="13" customWidth="1"/>
    <col min="20" max="20" width="24.3984375" style="108" customWidth="1"/>
    <col min="21" max="21" width="14.3984375" style="11" customWidth="1"/>
    <col min="22" max="23" width="11.69921875" style="4" customWidth="1"/>
    <col min="24" max="24" width="10.3984375" style="34" customWidth="1"/>
    <col min="25" max="25" width="11.69921875" style="4" customWidth="1"/>
    <col min="26" max="26" width="10.3984375" style="34" customWidth="1"/>
    <col min="27" max="27" width="8.09765625" style="20" customWidth="1"/>
    <col min="28" max="28" width="16.296875" style="11" customWidth="1"/>
    <col min="29" max="30" width="11.09765625" style="1" customWidth="1"/>
    <col min="31" max="31" width="22.796875" style="11" customWidth="1"/>
    <col min="32" max="16384" width="9" style="10"/>
  </cols>
  <sheetData>
    <row r="1" spans="1:31">
      <c r="C1" s="108"/>
      <c r="E1" s="108"/>
      <c r="F1" s="108"/>
      <c r="H1" s="109"/>
      <c r="I1" s="109"/>
      <c r="J1" s="109"/>
      <c r="K1" s="109"/>
      <c r="L1" s="109"/>
      <c r="M1" s="109"/>
      <c r="N1" s="109"/>
      <c r="O1" s="109"/>
      <c r="P1" s="109"/>
      <c r="R1" s="109"/>
      <c r="S1" s="109"/>
      <c r="U1" s="108"/>
      <c r="AB1" s="108"/>
      <c r="AE1" s="108"/>
    </row>
    <row r="2" spans="1:31">
      <c r="C2" s="108"/>
      <c r="E2" s="108"/>
      <c r="F2" s="108"/>
      <c r="H2" s="109"/>
      <c r="I2" s="109"/>
      <c r="J2" s="109"/>
      <c r="K2" s="109"/>
      <c r="L2" s="109"/>
      <c r="M2" s="109"/>
      <c r="N2" s="109"/>
      <c r="O2" s="109"/>
      <c r="P2" s="109"/>
      <c r="R2" s="109"/>
      <c r="S2" s="109"/>
      <c r="U2" s="108"/>
      <c r="AB2" s="108"/>
      <c r="AE2" s="108"/>
    </row>
    <row r="3" spans="1:31">
      <c r="C3" s="108"/>
      <c r="E3" s="108"/>
      <c r="F3" s="108"/>
      <c r="H3" s="109"/>
      <c r="I3" s="109"/>
      <c r="J3" s="109"/>
      <c r="K3" s="109"/>
      <c r="L3" s="109"/>
      <c r="M3" s="109"/>
      <c r="N3" s="109"/>
      <c r="O3" s="109"/>
      <c r="P3" s="109"/>
      <c r="R3" s="109"/>
      <c r="S3" s="109"/>
      <c r="U3" s="108"/>
      <c r="AB3" s="108"/>
      <c r="AE3" s="108"/>
    </row>
    <row r="4" spans="1:31">
      <c r="C4" s="108"/>
      <c r="E4" s="108"/>
      <c r="F4" s="108"/>
      <c r="H4" s="109"/>
      <c r="I4" s="109"/>
      <c r="J4" s="109"/>
      <c r="K4" s="109"/>
      <c r="L4" s="109"/>
      <c r="M4" s="109"/>
      <c r="N4" s="109"/>
      <c r="O4" s="109"/>
      <c r="P4" s="109"/>
      <c r="R4" s="109"/>
      <c r="S4" s="109"/>
      <c r="U4" s="108"/>
      <c r="AB4" s="108"/>
      <c r="AE4" s="108"/>
    </row>
    <row r="5" spans="1:31">
      <c r="C5" s="108"/>
      <c r="E5" s="108"/>
      <c r="F5" s="108"/>
      <c r="H5" s="109"/>
      <c r="I5" s="109"/>
      <c r="J5" s="109"/>
      <c r="K5" s="109"/>
      <c r="L5" s="109"/>
      <c r="M5" s="109"/>
      <c r="N5" s="109"/>
      <c r="O5" s="109"/>
      <c r="P5" s="109"/>
      <c r="R5" s="109"/>
      <c r="S5" s="109"/>
      <c r="U5" s="108"/>
      <c r="AB5" s="108"/>
      <c r="AE5" s="108"/>
    </row>
    <row r="6" spans="1:31">
      <c r="C6" s="108"/>
      <c r="E6" s="108"/>
      <c r="F6" s="108"/>
      <c r="H6" s="109"/>
      <c r="I6" s="109"/>
      <c r="J6" s="109"/>
      <c r="K6" s="109"/>
      <c r="L6" s="109"/>
      <c r="M6" s="109"/>
      <c r="N6" s="109"/>
      <c r="O6" s="109"/>
      <c r="P6" s="109"/>
      <c r="R6" s="109"/>
      <c r="S6" s="109"/>
      <c r="U6" s="108"/>
      <c r="AB6" s="108"/>
      <c r="AE6" s="108"/>
    </row>
    <row r="7" spans="1:31" s="136" customFormat="1" ht="21" customHeight="1">
      <c r="A7" s="127" t="s">
        <v>190</v>
      </c>
      <c r="B7" s="128"/>
      <c r="C7" s="129"/>
      <c r="D7" s="128"/>
      <c r="E7" s="129"/>
      <c r="F7" s="129"/>
      <c r="G7" s="128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130"/>
      <c r="S7" s="130"/>
      <c r="T7" s="129"/>
      <c r="U7" s="129"/>
      <c r="V7" s="132"/>
      <c r="W7" s="132"/>
      <c r="X7" s="133"/>
      <c r="Y7" s="132"/>
      <c r="Z7" s="133"/>
      <c r="AA7" s="134"/>
      <c r="AB7" s="129"/>
      <c r="AC7" s="135"/>
      <c r="AD7" s="135"/>
      <c r="AE7" s="129"/>
    </row>
    <row r="8" spans="1:31" s="32" customFormat="1" ht="62.4">
      <c r="A8" s="79" t="s">
        <v>86</v>
      </c>
      <c r="B8" s="79" t="s">
        <v>31</v>
      </c>
      <c r="C8" s="79" t="s">
        <v>89</v>
      </c>
      <c r="D8" s="80" t="s">
        <v>76</v>
      </c>
      <c r="E8" s="79" t="s">
        <v>75</v>
      </c>
      <c r="F8" s="79" t="s">
        <v>74</v>
      </c>
      <c r="G8" s="79" t="s">
        <v>93</v>
      </c>
      <c r="H8" s="79" t="s">
        <v>99</v>
      </c>
      <c r="I8" s="81" t="s">
        <v>79</v>
      </c>
      <c r="J8" s="81" t="s">
        <v>80</v>
      </c>
      <c r="K8" s="81" t="s">
        <v>81</v>
      </c>
      <c r="L8" s="81" t="s">
        <v>82</v>
      </c>
      <c r="M8" s="81" t="s">
        <v>83</v>
      </c>
      <c r="N8" s="81" t="s">
        <v>0</v>
      </c>
      <c r="O8" s="82" t="s">
        <v>1</v>
      </c>
      <c r="P8" s="82" t="s">
        <v>2</v>
      </c>
      <c r="Q8" s="83" t="s">
        <v>84</v>
      </c>
      <c r="R8" s="81" t="s">
        <v>85</v>
      </c>
      <c r="S8" s="81" t="s">
        <v>3</v>
      </c>
      <c r="T8" s="79" t="s">
        <v>96</v>
      </c>
      <c r="U8" s="79" t="s">
        <v>111</v>
      </c>
      <c r="V8" s="84" t="s">
        <v>77</v>
      </c>
      <c r="W8" s="85" t="s">
        <v>152</v>
      </c>
      <c r="X8" s="85" t="s">
        <v>153</v>
      </c>
      <c r="Y8" s="84" t="s">
        <v>78</v>
      </c>
      <c r="Z8" s="85" t="s">
        <v>105</v>
      </c>
      <c r="AA8" s="86" t="s">
        <v>154</v>
      </c>
      <c r="AB8" s="79" t="s">
        <v>106</v>
      </c>
      <c r="AC8" s="114" t="s">
        <v>109</v>
      </c>
      <c r="AD8" s="114" t="s">
        <v>110</v>
      </c>
      <c r="AE8" s="79" t="s">
        <v>101</v>
      </c>
    </row>
    <row r="9" spans="1:31" s="15" customFormat="1" ht="16.05" customHeight="1">
      <c r="A9" s="21" t="s">
        <v>87</v>
      </c>
      <c r="B9" s="21" t="s">
        <v>33</v>
      </c>
      <c r="C9" s="108">
        <v>120</v>
      </c>
      <c r="D9" s="21" t="s">
        <v>8</v>
      </c>
      <c r="E9" s="21" t="s">
        <v>13</v>
      </c>
      <c r="F9" s="21" t="s">
        <v>90</v>
      </c>
      <c r="G9" s="21"/>
      <c r="H9" s="21" t="s">
        <v>100</v>
      </c>
      <c r="I9" s="21">
        <v>3.54</v>
      </c>
      <c r="J9" s="21">
        <v>0.15</v>
      </c>
      <c r="K9" s="21">
        <v>0.05</v>
      </c>
      <c r="L9" s="21">
        <v>0.37</v>
      </c>
      <c r="M9" s="21">
        <v>0.16</v>
      </c>
      <c r="N9" s="21">
        <v>48.55</v>
      </c>
      <c r="O9" s="21">
        <v>1.2</v>
      </c>
      <c r="P9" s="21">
        <v>0.43</v>
      </c>
      <c r="Q9" s="21">
        <v>2.93</v>
      </c>
      <c r="R9" s="21">
        <v>2.58</v>
      </c>
      <c r="S9" s="21"/>
      <c r="T9" s="121" t="s">
        <v>98</v>
      </c>
      <c r="U9" s="15" t="s">
        <v>108</v>
      </c>
      <c r="V9" s="16">
        <v>0.32500000000000001</v>
      </c>
      <c r="W9" s="19">
        <v>0.05</v>
      </c>
      <c r="X9" s="33">
        <v>3.6415999231107193E-2</v>
      </c>
      <c r="Y9" s="16">
        <v>0.17699999999999999</v>
      </c>
      <c r="Z9" s="33">
        <v>0.06</v>
      </c>
      <c r="AA9" s="20">
        <v>2</v>
      </c>
      <c r="AB9" s="31" t="s">
        <v>97</v>
      </c>
      <c r="AC9" s="115">
        <v>7.4</v>
      </c>
      <c r="AD9" s="115">
        <v>-5.2</v>
      </c>
      <c r="AE9" s="39" t="s">
        <v>98</v>
      </c>
    </row>
    <row r="10" spans="1:31" s="15" customFormat="1">
      <c r="A10" s="21"/>
      <c r="B10" s="21"/>
      <c r="C10" s="21"/>
      <c r="D10" s="21" t="s">
        <v>8</v>
      </c>
      <c r="E10" s="21" t="s">
        <v>13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21"/>
      <c r="U10" s="11" t="s">
        <v>100</v>
      </c>
      <c r="V10" s="16">
        <v>0.36465387481158046</v>
      </c>
      <c r="W10" s="16">
        <v>0.05</v>
      </c>
      <c r="X10" s="16">
        <v>0.05</v>
      </c>
      <c r="Y10" s="19">
        <v>0.28329674166249563</v>
      </c>
      <c r="Z10" s="33">
        <v>0.06</v>
      </c>
      <c r="AA10" s="20">
        <v>1</v>
      </c>
      <c r="AB10" s="31" t="s">
        <v>97</v>
      </c>
      <c r="AC10" s="116"/>
      <c r="AD10" s="116"/>
      <c r="AE10" s="39"/>
    </row>
    <row r="11" spans="1:31" s="15" customFormat="1">
      <c r="A11" s="21"/>
      <c r="B11" s="21"/>
      <c r="C11" s="21"/>
      <c r="D11" s="21" t="s">
        <v>8</v>
      </c>
      <c r="E11" s="21" t="s">
        <v>13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21"/>
      <c r="U11" s="108" t="s">
        <v>100</v>
      </c>
      <c r="V11" s="16">
        <v>0.33</v>
      </c>
      <c r="W11" s="16">
        <v>0.06</v>
      </c>
      <c r="X11" s="16">
        <v>0.02</v>
      </c>
      <c r="AA11" s="109">
        <v>8</v>
      </c>
      <c r="AB11" s="21" t="s">
        <v>188</v>
      </c>
      <c r="AC11" s="116"/>
      <c r="AD11" s="116"/>
      <c r="AE11" s="39"/>
    </row>
    <row r="12" spans="1:31" s="15" customFormat="1">
      <c r="A12" s="21"/>
      <c r="B12" s="21"/>
      <c r="C12" s="21"/>
      <c r="D12" s="21" t="s">
        <v>8</v>
      </c>
      <c r="E12" s="21" t="s">
        <v>13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21"/>
      <c r="U12" s="108" t="s">
        <v>100</v>
      </c>
      <c r="V12" s="16">
        <v>0.34</v>
      </c>
      <c r="W12" s="16">
        <v>0.03</v>
      </c>
      <c r="X12" s="16">
        <v>0.02</v>
      </c>
      <c r="AA12" s="109">
        <v>4</v>
      </c>
      <c r="AB12" s="21" t="s">
        <v>175</v>
      </c>
      <c r="AC12" s="116"/>
      <c r="AD12" s="116"/>
      <c r="AE12" s="39"/>
    </row>
    <row r="13" spans="1:31" s="15" customFormat="1">
      <c r="A13" s="21"/>
      <c r="B13" s="21"/>
      <c r="C13" s="21"/>
      <c r="D13" s="21" t="s">
        <v>8</v>
      </c>
      <c r="E13" s="21" t="s">
        <v>13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21"/>
      <c r="U13" s="108" t="s">
        <v>100</v>
      </c>
      <c r="V13" s="16">
        <v>0.35</v>
      </c>
      <c r="W13" s="16">
        <v>7.0000000000000007E-2</v>
      </c>
      <c r="X13" s="16">
        <v>0.04</v>
      </c>
      <c r="AA13" s="109">
        <v>4</v>
      </c>
      <c r="AB13" s="21" t="s">
        <v>176</v>
      </c>
      <c r="AC13" s="116"/>
      <c r="AD13" s="116"/>
      <c r="AE13" s="39"/>
    </row>
    <row r="14" spans="1:31" s="15" customFormat="1">
      <c r="A14" s="21"/>
      <c r="B14" s="21"/>
      <c r="C14" s="21"/>
      <c r="D14" s="21" t="s">
        <v>8</v>
      </c>
      <c r="E14" s="21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21"/>
      <c r="U14" s="108" t="s">
        <v>100</v>
      </c>
      <c r="V14" s="16">
        <v>0.35</v>
      </c>
      <c r="W14" s="16">
        <v>7.0000000000000007E-2</v>
      </c>
      <c r="X14" s="16">
        <v>0.05</v>
      </c>
      <c r="AA14" s="109">
        <v>2</v>
      </c>
      <c r="AB14" s="21" t="s">
        <v>177</v>
      </c>
      <c r="AC14" s="116"/>
      <c r="AD14" s="116"/>
      <c r="AE14" s="39"/>
    </row>
    <row r="15" spans="1:31" s="15" customFormat="1" ht="16.2">
      <c r="A15" s="21"/>
      <c r="B15" s="21"/>
      <c r="C15" s="21"/>
      <c r="D15" s="21"/>
      <c r="E15" s="21" t="s">
        <v>13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21"/>
      <c r="U15" s="38" t="s">
        <v>107</v>
      </c>
      <c r="V15" s="125">
        <f>AVERAGE(V9:V14)</f>
        <v>0.3432756458019301</v>
      </c>
      <c r="W15" s="35"/>
      <c r="X15" s="36"/>
      <c r="Y15" s="35"/>
      <c r="Z15" s="36"/>
      <c r="AA15" s="37">
        <v>6</v>
      </c>
      <c r="AB15" s="31" t="s">
        <v>97</v>
      </c>
      <c r="AC15" s="116"/>
      <c r="AD15" s="116"/>
      <c r="AE15" s="39"/>
    </row>
    <row r="16" spans="1:31" s="15" customFormat="1">
      <c r="A16" s="26" t="s">
        <v>87</v>
      </c>
      <c r="B16" s="24" t="s">
        <v>33</v>
      </c>
      <c r="C16" s="3">
        <v>120</v>
      </c>
      <c r="D16" s="25" t="s">
        <v>8</v>
      </c>
      <c r="E16" s="11" t="s">
        <v>14</v>
      </c>
      <c r="F16" s="6" t="s">
        <v>90</v>
      </c>
      <c r="G16" s="27"/>
      <c r="H16" s="12"/>
      <c r="I16" s="13"/>
      <c r="J16" s="13"/>
      <c r="K16" s="13"/>
      <c r="L16" s="13"/>
      <c r="M16" s="13"/>
      <c r="N16" s="13"/>
      <c r="O16" s="13"/>
      <c r="P16" s="13"/>
      <c r="Q16" s="19"/>
      <c r="R16" s="13"/>
      <c r="S16" s="12"/>
      <c r="T16" s="31"/>
      <c r="U16" s="11" t="s">
        <v>34</v>
      </c>
      <c r="V16" s="19">
        <v>0.34324946748088075</v>
      </c>
      <c r="W16" s="19">
        <v>0.05</v>
      </c>
      <c r="X16" s="33">
        <v>5.1499999999999997E-2</v>
      </c>
      <c r="Y16" s="19">
        <v>0.17613688653360549</v>
      </c>
      <c r="Z16" s="33">
        <v>0.06</v>
      </c>
      <c r="AA16" s="20">
        <v>1</v>
      </c>
      <c r="AB16" s="31" t="s">
        <v>97</v>
      </c>
      <c r="AC16" s="115">
        <v>7.16</v>
      </c>
      <c r="AD16" s="115">
        <v>-5.42</v>
      </c>
      <c r="AE16" s="126" t="s">
        <v>189</v>
      </c>
    </row>
    <row r="17" spans="1:88" s="15" customFormat="1">
      <c r="A17" s="26" t="s">
        <v>87</v>
      </c>
      <c r="B17" s="24" t="s">
        <v>33</v>
      </c>
      <c r="C17" s="3">
        <v>120</v>
      </c>
      <c r="D17" s="25" t="s">
        <v>8</v>
      </c>
      <c r="E17" s="11" t="s">
        <v>15</v>
      </c>
      <c r="F17" s="6" t="s">
        <v>90</v>
      </c>
      <c r="G17" s="27"/>
      <c r="H17" s="12"/>
      <c r="I17" s="13"/>
      <c r="J17" s="13"/>
      <c r="K17" s="13"/>
      <c r="L17" s="13"/>
      <c r="M17" s="13"/>
      <c r="N17" s="13"/>
      <c r="O17" s="13"/>
      <c r="P17" s="13"/>
      <c r="Q17" s="19"/>
      <c r="R17" s="13"/>
      <c r="S17" s="12"/>
      <c r="T17" s="31"/>
      <c r="U17" s="11" t="s">
        <v>34</v>
      </c>
      <c r="V17" s="19">
        <v>0.37560141224928545</v>
      </c>
      <c r="W17" s="19">
        <v>0.05</v>
      </c>
      <c r="X17" s="33">
        <v>5.1499999999999997E-2</v>
      </c>
      <c r="Y17" s="19">
        <v>0.16144379089972774</v>
      </c>
      <c r="Z17" s="33">
        <v>0.06</v>
      </c>
      <c r="AA17" s="20">
        <v>1</v>
      </c>
      <c r="AB17" s="31" t="s">
        <v>97</v>
      </c>
      <c r="AC17" s="115">
        <v>7.11</v>
      </c>
      <c r="AD17" s="115">
        <v>-5.65</v>
      </c>
      <c r="AE17" s="126" t="s">
        <v>189</v>
      </c>
    </row>
    <row r="18" spans="1:88" s="15" customFormat="1">
      <c r="A18" s="26" t="s">
        <v>87</v>
      </c>
      <c r="B18" s="24" t="s">
        <v>33</v>
      </c>
      <c r="C18" s="3">
        <v>120</v>
      </c>
      <c r="D18" s="25" t="s">
        <v>8</v>
      </c>
      <c r="E18" s="11" t="s">
        <v>16</v>
      </c>
      <c r="F18" s="6" t="s">
        <v>90</v>
      </c>
      <c r="G18" s="27"/>
      <c r="H18" s="12"/>
      <c r="I18" s="13"/>
      <c r="J18" s="13"/>
      <c r="K18" s="13"/>
      <c r="L18" s="13"/>
      <c r="M18" s="13"/>
      <c r="N18" s="13"/>
      <c r="O18" s="13"/>
      <c r="P18" s="13"/>
      <c r="Q18" s="19"/>
      <c r="R18" s="13"/>
      <c r="S18" s="12"/>
      <c r="T18" s="31"/>
      <c r="U18" s="11" t="s">
        <v>34</v>
      </c>
      <c r="V18" s="19">
        <v>0.35308388250387179</v>
      </c>
      <c r="W18" s="19">
        <v>0.05</v>
      </c>
      <c r="X18" s="33">
        <v>5.1499999999999997E-2</v>
      </c>
      <c r="Y18" s="19">
        <v>0.15578926395914286</v>
      </c>
      <c r="Z18" s="33">
        <v>0.06</v>
      </c>
      <c r="AA18" s="20">
        <v>1</v>
      </c>
      <c r="AB18" s="31" t="s">
        <v>97</v>
      </c>
      <c r="AC18" s="115">
        <v>6.88</v>
      </c>
      <c r="AD18" s="115">
        <v>-5.77</v>
      </c>
      <c r="AE18" s="126" t="s">
        <v>189</v>
      </c>
    </row>
    <row r="19" spans="1:88" s="15" customFormat="1">
      <c r="A19" s="26" t="s">
        <v>87</v>
      </c>
      <c r="B19" s="24" t="s">
        <v>33</v>
      </c>
      <c r="C19" s="3">
        <v>120</v>
      </c>
      <c r="D19" s="25" t="s">
        <v>8</v>
      </c>
      <c r="E19" s="106" t="s">
        <v>160</v>
      </c>
      <c r="F19" s="6" t="s">
        <v>90</v>
      </c>
      <c r="G19" s="27"/>
      <c r="H19" s="12"/>
      <c r="I19" s="104"/>
      <c r="J19" s="104"/>
      <c r="K19" s="104"/>
      <c r="L19" s="104"/>
      <c r="M19" s="104"/>
      <c r="N19" s="104"/>
      <c r="O19" s="104"/>
      <c r="P19" s="104"/>
      <c r="Q19" s="19"/>
      <c r="R19" s="104"/>
      <c r="S19" s="12"/>
      <c r="T19" s="31"/>
      <c r="U19" s="106" t="s">
        <v>34</v>
      </c>
      <c r="V19" s="19">
        <v>0.36</v>
      </c>
      <c r="W19" s="19">
        <v>0.05</v>
      </c>
      <c r="X19" s="33">
        <v>0.05</v>
      </c>
      <c r="Y19" s="19">
        <v>0.23047209164947402</v>
      </c>
      <c r="Z19" s="33">
        <v>0.06</v>
      </c>
      <c r="AA19" s="20">
        <v>1</v>
      </c>
      <c r="AB19" s="31" t="s">
        <v>97</v>
      </c>
      <c r="AC19" s="115">
        <v>6.5</v>
      </c>
      <c r="AD19" s="115">
        <v>-5.0999999999999996</v>
      </c>
      <c r="AE19" s="126" t="s">
        <v>189</v>
      </c>
    </row>
    <row r="20" spans="1:88" s="15" customFormat="1" ht="32.1" customHeight="1">
      <c r="A20" s="26" t="s">
        <v>87</v>
      </c>
      <c r="B20" s="24" t="s">
        <v>161</v>
      </c>
      <c r="C20" s="3" t="s">
        <v>166</v>
      </c>
      <c r="D20" s="25" t="s">
        <v>8</v>
      </c>
      <c r="E20" s="106" t="s">
        <v>162</v>
      </c>
      <c r="F20" s="21" t="s">
        <v>91</v>
      </c>
      <c r="G20" s="27"/>
      <c r="H20" s="12"/>
      <c r="I20" s="104"/>
      <c r="J20" s="104"/>
      <c r="K20" s="104"/>
      <c r="L20" s="104"/>
      <c r="M20" s="104"/>
      <c r="N20" s="104"/>
      <c r="O20" s="104"/>
      <c r="P20" s="104"/>
      <c r="Q20" s="19"/>
      <c r="R20" s="104"/>
      <c r="S20" s="12"/>
      <c r="T20" s="31"/>
      <c r="U20" s="108" t="s">
        <v>34</v>
      </c>
      <c r="V20" s="19">
        <v>0.34303419565106225</v>
      </c>
      <c r="W20" s="19">
        <v>0.05</v>
      </c>
      <c r="X20" s="33">
        <v>0.05</v>
      </c>
      <c r="Y20" s="19">
        <v>0.19381532014168068</v>
      </c>
      <c r="Z20" s="33">
        <v>0.06</v>
      </c>
      <c r="AA20" s="20">
        <v>1</v>
      </c>
      <c r="AB20" s="31" t="s">
        <v>97</v>
      </c>
      <c r="AC20" s="115">
        <v>8.52</v>
      </c>
      <c r="AD20" s="115">
        <v>-6.42</v>
      </c>
      <c r="AE20" s="105" t="s">
        <v>97</v>
      </c>
    </row>
    <row r="21" spans="1:88" s="15" customFormat="1" ht="18" customHeight="1">
      <c r="A21" s="26"/>
      <c r="B21" s="24"/>
      <c r="C21" s="3"/>
      <c r="D21" s="21" t="s">
        <v>8</v>
      </c>
      <c r="E21" s="108" t="s">
        <v>162</v>
      </c>
      <c r="F21" s="21"/>
      <c r="G21" s="27"/>
      <c r="H21" s="12"/>
      <c r="I21" s="109"/>
      <c r="J21" s="109"/>
      <c r="K21" s="109"/>
      <c r="L21" s="109"/>
      <c r="M21" s="109"/>
      <c r="N21" s="109"/>
      <c r="O21" s="109"/>
      <c r="P21" s="109"/>
      <c r="Q21" s="19"/>
      <c r="R21" s="109"/>
      <c r="S21" s="12"/>
      <c r="T21" s="31"/>
      <c r="U21" s="108" t="s">
        <v>34</v>
      </c>
      <c r="V21" s="19">
        <v>0.35</v>
      </c>
      <c r="W21" s="19"/>
      <c r="X21" s="19">
        <v>0.05</v>
      </c>
      <c r="Y21" s="19"/>
      <c r="Z21" s="33"/>
      <c r="AA21" s="20">
        <v>1</v>
      </c>
      <c r="AB21" s="31" t="s">
        <v>169</v>
      </c>
      <c r="AC21" s="115"/>
      <c r="AD21" s="115"/>
      <c r="AE21" s="110"/>
    </row>
    <row r="22" spans="1:88" s="15" customFormat="1" ht="18" customHeight="1">
      <c r="A22" s="26"/>
      <c r="B22" s="24"/>
      <c r="C22" s="3"/>
      <c r="D22" s="25"/>
      <c r="E22" s="108" t="s">
        <v>162</v>
      </c>
      <c r="F22" s="21"/>
      <c r="G22" s="27"/>
      <c r="H22" s="12"/>
      <c r="I22" s="109"/>
      <c r="J22" s="109"/>
      <c r="K22" s="109"/>
      <c r="L22" s="109"/>
      <c r="M22" s="109"/>
      <c r="N22" s="109"/>
      <c r="O22" s="109"/>
      <c r="P22" s="109"/>
      <c r="Q22" s="19"/>
      <c r="R22" s="109"/>
      <c r="S22" s="12"/>
      <c r="T22" s="31"/>
      <c r="U22" s="38" t="s">
        <v>107</v>
      </c>
      <c r="V22" s="125">
        <v>0.34651709782553108</v>
      </c>
      <c r="W22" s="122"/>
      <c r="X22" s="36">
        <v>3.6415999231107193E-2</v>
      </c>
      <c r="Y22" s="123"/>
      <c r="Z22" s="122"/>
      <c r="AA22" s="124">
        <v>2</v>
      </c>
      <c r="AB22" s="31" t="s">
        <v>97</v>
      </c>
      <c r="AC22" s="115"/>
      <c r="AD22" s="115"/>
      <c r="AE22" s="110"/>
    </row>
    <row r="23" spans="1:88" s="15" customFormat="1" ht="31.2">
      <c r="A23" s="26" t="s">
        <v>87</v>
      </c>
      <c r="B23" s="24" t="s">
        <v>161</v>
      </c>
      <c r="C23" s="3" t="s">
        <v>166</v>
      </c>
      <c r="D23" s="28" t="s">
        <v>10</v>
      </c>
      <c r="E23" s="106" t="s">
        <v>163</v>
      </c>
      <c r="F23" s="6" t="s">
        <v>90</v>
      </c>
      <c r="G23" s="27"/>
      <c r="H23" s="12"/>
      <c r="I23" s="104"/>
      <c r="J23" s="104"/>
      <c r="K23" s="104"/>
      <c r="L23" s="104"/>
      <c r="M23" s="104"/>
      <c r="N23" s="104"/>
      <c r="O23" s="104"/>
      <c r="P23" s="104"/>
      <c r="Q23" s="19"/>
      <c r="R23" s="104"/>
      <c r="S23" s="12"/>
      <c r="T23" s="31"/>
      <c r="U23" s="106" t="s">
        <v>34</v>
      </c>
      <c r="V23" s="19">
        <v>0.3535736547185343</v>
      </c>
      <c r="W23" s="19">
        <v>0.05</v>
      </c>
      <c r="X23" s="33">
        <v>0.05</v>
      </c>
      <c r="Y23" s="19">
        <v>0.18710109059999333</v>
      </c>
      <c r="Z23" s="33">
        <v>0.06</v>
      </c>
      <c r="AA23" s="20">
        <v>1</v>
      </c>
      <c r="AB23" s="31" t="s">
        <v>97</v>
      </c>
      <c r="AC23" s="115">
        <v>12.38</v>
      </c>
      <c r="AD23" s="115">
        <v>-5.41</v>
      </c>
      <c r="AE23" s="107" t="s">
        <v>97</v>
      </c>
    </row>
    <row r="24" spans="1:88" s="15" customFormat="1" ht="31.2">
      <c r="A24" s="26"/>
      <c r="B24" s="24"/>
      <c r="C24" s="3"/>
      <c r="D24" s="28" t="s">
        <v>10</v>
      </c>
      <c r="E24" s="108" t="s">
        <v>163</v>
      </c>
      <c r="F24" s="6"/>
      <c r="G24" s="27"/>
      <c r="H24" s="12"/>
      <c r="I24" s="109"/>
      <c r="J24" s="109"/>
      <c r="K24" s="109"/>
      <c r="L24" s="109"/>
      <c r="M24" s="109"/>
      <c r="N24" s="109"/>
      <c r="O24" s="109"/>
      <c r="P24" s="109"/>
      <c r="Q24" s="19"/>
      <c r="R24" s="109"/>
      <c r="S24" s="12"/>
      <c r="T24" s="31"/>
      <c r="U24" s="108" t="s">
        <v>34</v>
      </c>
      <c r="V24" s="19">
        <v>0.38500000000000001</v>
      </c>
      <c r="W24" s="19"/>
      <c r="X24" s="19">
        <v>0.04</v>
      </c>
      <c r="Y24" s="19"/>
      <c r="Z24" s="33"/>
      <c r="AA24" s="20">
        <v>2</v>
      </c>
      <c r="AB24" s="31" t="s">
        <v>169</v>
      </c>
      <c r="AC24" s="115"/>
      <c r="AD24" s="115"/>
      <c r="AE24" s="110"/>
    </row>
    <row r="25" spans="1:88" s="15" customFormat="1" ht="16.2">
      <c r="A25" s="26"/>
      <c r="B25" s="24"/>
      <c r="C25" s="3"/>
      <c r="D25" s="28"/>
      <c r="E25" s="108" t="s">
        <v>163</v>
      </c>
      <c r="F25" s="6"/>
      <c r="G25" s="27"/>
      <c r="H25" s="12"/>
      <c r="I25" s="109"/>
      <c r="J25" s="109"/>
      <c r="K25" s="109"/>
      <c r="L25" s="109"/>
      <c r="M25" s="109"/>
      <c r="N25" s="109"/>
      <c r="O25" s="109"/>
      <c r="P25" s="109"/>
      <c r="Q25" s="19"/>
      <c r="R25" s="109"/>
      <c r="S25" s="12"/>
      <c r="T25" s="31"/>
      <c r="U25" s="38" t="s">
        <v>107</v>
      </c>
      <c r="V25" s="125">
        <v>0.36928682735926716</v>
      </c>
      <c r="W25" s="122"/>
      <c r="X25" s="36">
        <v>3.6415999231107193E-2</v>
      </c>
      <c r="Y25" s="123"/>
      <c r="Z25" s="122"/>
      <c r="AA25" s="124">
        <v>2</v>
      </c>
      <c r="AB25" s="31" t="s">
        <v>97</v>
      </c>
      <c r="AC25" s="115"/>
      <c r="AD25" s="115"/>
      <c r="AE25" s="110"/>
    </row>
    <row r="26" spans="1:88" s="15" customFormat="1" ht="31.2">
      <c r="A26" s="26" t="s">
        <v>87</v>
      </c>
      <c r="B26" s="24" t="s">
        <v>161</v>
      </c>
      <c r="C26" s="3" t="s">
        <v>166</v>
      </c>
      <c r="D26" s="28" t="s">
        <v>10</v>
      </c>
      <c r="E26" s="106" t="s">
        <v>164</v>
      </c>
      <c r="F26" s="6" t="s">
        <v>90</v>
      </c>
      <c r="G26" s="27"/>
      <c r="H26" s="12"/>
      <c r="I26" s="104"/>
      <c r="J26" s="118"/>
      <c r="K26" s="104"/>
      <c r="L26" s="104"/>
      <c r="M26" s="104"/>
      <c r="N26" s="104"/>
      <c r="O26" s="104"/>
      <c r="P26" s="104"/>
      <c r="Q26" s="19"/>
      <c r="R26" s="104"/>
      <c r="S26" s="12"/>
      <c r="T26" s="31"/>
      <c r="U26" s="106" t="s">
        <v>34</v>
      </c>
      <c r="V26" s="19">
        <v>0.25806598405740877</v>
      </c>
      <c r="W26" s="19">
        <v>0.05</v>
      </c>
      <c r="X26" s="33">
        <v>0.05</v>
      </c>
      <c r="Y26" s="19">
        <v>9.5659480390653057E-2</v>
      </c>
      <c r="Z26" s="33">
        <v>0.06</v>
      </c>
      <c r="AA26" s="20">
        <v>1</v>
      </c>
      <c r="AB26" s="31" t="s">
        <v>97</v>
      </c>
      <c r="AC26" s="115">
        <v>7.69</v>
      </c>
      <c r="AD26" s="115">
        <v>-8.16</v>
      </c>
      <c r="AE26" s="107" t="s">
        <v>97</v>
      </c>
    </row>
    <row r="27" spans="1:88" s="15" customFormat="1" ht="31.2">
      <c r="A27" s="26" t="s">
        <v>87</v>
      </c>
      <c r="B27" s="24" t="s">
        <v>174</v>
      </c>
      <c r="C27" s="3">
        <v>6.8</v>
      </c>
      <c r="D27" s="28" t="s">
        <v>10</v>
      </c>
      <c r="E27" s="108" t="s">
        <v>170</v>
      </c>
      <c r="F27" s="6" t="s">
        <v>172</v>
      </c>
      <c r="G27" s="27"/>
      <c r="H27" s="109" t="s">
        <v>100</v>
      </c>
      <c r="I27" s="109">
        <v>7.54</v>
      </c>
      <c r="J27" s="109">
        <v>0.01</v>
      </c>
      <c r="K27" s="109">
        <v>0.06</v>
      </c>
      <c r="L27" s="109">
        <v>0.12</v>
      </c>
      <c r="M27" s="109">
        <v>0.01</v>
      </c>
      <c r="N27" s="19">
        <v>38.700000000000003</v>
      </c>
      <c r="O27" s="19">
        <v>9.5500000000000007</v>
      </c>
      <c r="P27" s="19">
        <v>0.82</v>
      </c>
      <c r="Q27" s="19">
        <v>2.56</v>
      </c>
      <c r="R27" s="109">
        <v>0.89</v>
      </c>
      <c r="S27" s="109">
        <v>38.799999999999997</v>
      </c>
      <c r="T27" s="110" t="s">
        <v>179</v>
      </c>
      <c r="U27" s="108" t="s">
        <v>34</v>
      </c>
      <c r="V27" s="19">
        <v>0.326829268292683</v>
      </c>
      <c r="W27" s="19"/>
      <c r="X27" s="33"/>
      <c r="Y27" s="19"/>
      <c r="Z27" s="33"/>
      <c r="AA27" s="20"/>
      <c r="AB27" s="31" t="s">
        <v>178</v>
      </c>
      <c r="AC27" s="115">
        <v>14.3</v>
      </c>
      <c r="AD27" s="115">
        <v>-1.3</v>
      </c>
      <c r="AE27" s="110" t="s">
        <v>179</v>
      </c>
    </row>
    <row r="28" spans="1:88" s="15" customFormat="1">
      <c r="A28" s="26" t="s">
        <v>87</v>
      </c>
      <c r="B28" s="24" t="s">
        <v>174</v>
      </c>
      <c r="C28" s="3">
        <v>5.7</v>
      </c>
      <c r="D28" s="25" t="s">
        <v>8</v>
      </c>
      <c r="E28" s="108" t="s">
        <v>171</v>
      </c>
      <c r="F28" s="6" t="s">
        <v>173</v>
      </c>
      <c r="G28" s="27"/>
      <c r="H28" s="109" t="s">
        <v>100</v>
      </c>
      <c r="I28" s="109">
        <v>3.28</v>
      </c>
      <c r="J28" s="109">
        <v>0.01</v>
      </c>
      <c r="K28" s="109">
        <v>0.13</v>
      </c>
      <c r="L28" s="109">
        <v>0.37</v>
      </c>
      <c r="M28" s="109">
        <v>0.2</v>
      </c>
      <c r="N28" s="19">
        <v>48.6</v>
      </c>
      <c r="O28" s="19">
        <v>3.56</v>
      </c>
      <c r="P28" s="19">
        <v>0.34</v>
      </c>
      <c r="Q28" s="19">
        <v>0.57999999999999996</v>
      </c>
      <c r="R28" s="109">
        <v>0.8</v>
      </c>
      <c r="S28" s="109">
        <v>41.4</v>
      </c>
      <c r="T28" s="110" t="s">
        <v>179</v>
      </c>
      <c r="U28" s="108" t="s">
        <v>34</v>
      </c>
      <c r="V28" s="19">
        <v>0.36097560975609799</v>
      </c>
      <c r="W28" s="19"/>
      <c r="X28" s="33"/>
      <c r="Y28" s="19"/>
      <c r="Z28" s="33"/>
      <c r="AA28" s="20"/>
      <c r="AB28" s="31" t="s">
        <v>178</v>
      </c>
      <c r="AC28" s="115">
        <v>8.4</v>
      </c>
      <c r="AD28" s="115">
        <v>-4.5</v>
      </c>
      <c r="AE28" s="110" t="s">
        <v>179</v>
      </c>
    </row>
    <row r="29" spans="1:88" s="15" customFormat="1">
      <c r="A29" s="26" t="s">
        <v>87</v>
      </c>
      <c r="B29" s="24" t="s">
        <v>36</v>
      </c>
      <c r="C29" s="3">
        <v>640</v>
      </c>
      <c r="D29" s="28" t="s">
        <v>35</v>
      </c>
      <c r="E29" s="3" t="s">
        <v>5</v>
      </c>
      <c r="F29" s="21" t="s">
        <v>92</v>
      </c>
      <c r="G29" s="27" t="s">
        <v>37</v>
      </c>
      <c r="H29" s="13" t="s">
        <v>100</v>
      </c>
      <c r="I29" s="13">
        <v>37.200000000000003</v>
      </c>
      <c r="J29" s="13">
        <v>2.79</v>
      </c>
      <c r="K29" s="13">
        <v>5.72</v>
      </c>
      <c r="L29" s="13">
        <v>13.2</v>
      </c>
      <c r="M29" s="13">
        <v>2.83</v>
      </c>
      <c r="N29" s="13">
        <v>18</v>
      </c>
      <c r="O29" s="13">
        <v>4.5199999999999996</v>
      </c>
      <c r="P29" s="13">
        <v>0.18</v>
      </c>
      <c r="Q29" s="19">
        <v>10.98</v>
      </c>
      <c r="R29" s="13">
        <v>2.35</v>
      </c>
      <c r="S29" s="13">
        <v>1.72</v>
      </c>
      <c r="T29" s="110" t="s">
        <v>183</v>
      </c>
      <c r="U29" s="3" t="s">
        <v>32</v>
      </c>
      <c r="V29" s="19">
        <v>0.35121227874319644</v>
      </c>
      <c r="W29" s="19">
        <v>0.05</v>
      </c>
      <c r="X29" s="33">
        <v>5.1499999999999997E-2</v>
      </c>
      <c r="Y29" s="19">
        <v>0.20207931584647912</v>
      </c>
      <c r="Z29" s="33">
        <v>0.06</v>
      </c>
      <c r="AA29" s="20">
        <v>1</v>
      </c>
      <c r="AB29" s="31" t="s">
        <v>97</v>
      </c>
      <c r="AC29" s="1"/>
      <c r="AD29" s="1"/>
      <c r="AE29" s="11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s="15" customFormat="1" ht="15" customHeight="1">
      <c r="A30" s="26" t="s">
        <v>87</v>
      </c>
      <c r="B30" s="24" t="s">
        <v>36</v>
      </c>
      <c r="C30" s="3">
        <v>640</v>
      </c>
      <c r="D30" s="28" t="s">
        <v>35</v>
      </c>
      <c r="E30" s="3" t="s">
        <v>6</v>
      </c>
      <c r="F30" s="21" t="s">
        <v>38</v>
      </c>
      <c r="G30" s="27" t="s">
        <v>37</v>
      </c>
      <c r="H30" s="13" t="s">
        <v>100</v>
      </c>
      <c r="I30" s="13">
        <v>27.9</v>
      </c>
      <c r="J30" s="13">
        <v>6.3</v>
      </c>
      <c r="K30" s="13">
        <v>1.41</v>
      </c>
      <c r="L30" s="13">
        <v>6.5</v>
      </c>
      <c r="M30" s="13">
        <v>0.52</v>
      </c>
      <c r="N30" s="13">
        <v>20.75</v>
      </c>
      <c r="O30" s="13">
        <v>8.1999999999999993</v>
      </c>
      <c r="P30" s="13">
        <v>0.44</v>
      </c>
      <c r="Q30" s="19">
        <v>20.32</v>
      </c>
      <c r="R30" s="13">
        <v>1.32</v>
      </c>
      <c r="S30" s="13">
        <v>5.96</v>
      </c>
      <c r="T30" s="110" t="s">
        <v>183</v>
      </c>
      <c r="U30" s="3" t="s">
        <v>32</v>
      </c>
      <c r="V30" s="19">
        <v>0.36302335406610325</v>
      </c>
      <c r="W30" s="19">
        <v>0.05</v>
      </c>
      <c r="X30" s="33">
        <v>5.1499999999999997E-2</v>
      </c>
      <c r="Y30" s="19">
        <v>0.17957207825142921</v>
      </c>
      <c r="Z30" s="33">
        <v>0.06</v>
      </c>
      <c r="AA30" s="20">
        <v>1</v>
      </c>
      <c r="AB30" s="31" t="s">
        <v>97</v>
      </c>
      <c r="AC30" s="1"/>
      <c r="AD30" s="1"/>
      <c r="AE30" s="11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s="15" customFormat="1" ht="15" customHeight="1">
      <c r="A31" s="26" t="s">
        <v>87</v>
      </c>
      <c r="B31" s="24" t="s">
        <v>36</v>
      </c>
      <c r="C31" s="3">
        <v>640</v>
      </c>
      <c r="D31" s="28" t="s">
        <v>35</v>
      </c>
      <c r="E31" s="3" t="s">
        <v>7</v>
      </c>
      <c r="F31" s="21" t="s">
        <v>39</v>
      </c>
      <c r="G31" s="27" t="s">
        <v>40</v>
      </c>
      <c r="H31" s="13" t="s">
        <v>100</v>
      </c>
      <c r="I31" s="13">
        <v>49.3</v>
      </c>
      <c r="J31" s="13">
        <v>0.25</v>
      </c>
      <c r="K31" s="13">
        <v>7.79</v>
      </c>
      <c r="L31" s="13">
        <v>18.2</v>
      </c>
      <c r="M31" s="13">
        <v>7.47</v>
      </c>
      <c r="N31" s="13">
        <v>5.6</v>
      </c>
      <c r="O31" s="13">
        <v>1.25</v>
      </c>
      <c r="P31" s="13">
        <v>0.12</v>
      </c>
      <c r="Q31" s="19">
        <v>4.7</v>
      </c>
      <c r="R31" s="13">
        <v>0.19</v>
      </c>
      <c r="S31" s="13">
        <v>4.9000000000000004</v>
      </c>
      <c r="T31" s="110" t="s">
        <v>183</v>
      </c>
      <c r="U31" s="3" t="s">
        <v>32</v>
      </c>
      <c r="V31" s="19">
        <v>0.34599999999999997</v>
      </c>
      <c r="W31" s="19">
        <v>0.05</v>
      </c>
      <c r="X31" s="33">
        <v>3.6415999231107193E-2</v>
      </c>
      <c r="Y31" s="19">
        <v>0.17795363853125909</v>
      </c>
      <c r="Z31" s="33">
        <v>0.06</v>
      </c>
      <c r="AA31" s="20">
        <v>2</v>
      </c>
      <c r="AB31" s="31" t="s">
        <v>97</v>
      </c>
      <c r="AC31" s="1"/>
      <c r="AD31" s="1"/>
      <c r="AE31" s="11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1.2">
      <c r="A32" s="26" t="s">
        <v>87</v>
      </c>
      <c r="B32" s="24" t="s">
        <v>36</v>
      </c>
      <c r="C32" s="3">
        <v>640</v>
      </c>
      <c r="D32" s="25" t="s">
        <v>8</v>
      </c>
      <c r="E32" s="11">
        <v>2550</v>
      </c>
      <c r="F32" s="6" t="s">
        <v>90</v>
      </c>
      <c r="G32" s="27" t="s">
        <v>43</v>
      </c>
      <c r="H32" s="13" t="s">
        <v>100</v>
      </c>
      <c r="I32" s="13">
        <v>5.2</v>
      </c>
      <c r="J32" s="13">
        <v>0.45</v>
      </c>
      <c r="K32" s="13">
        <v>0.28000000000000003</v>
      </c>
      <c r="L32" s="13">
        <v>1.2</v>
      </c>
      <c r="M32" s="13">
        <v>0.6</v>
      </c>
      <c r="N32" s="13">
        <v>48.52</v>
      </c>
      <c r="O32" s="13">
        <v>2.29</v>
      </c>
      <c r="P32" s="13">
        <v>0.26</v>
      </c>
      <c r="Q32" s="19">
        <v>3.4699999999999998</v>
      </c>
      <c r="R32" s="13">
        <v>2.2000000000000002</v>
      </c>
      <c r="S32" s="12">
        <v>35.18</v>
      </c>
      <c r="T32" s="110" t="s">
        <v>183</v>
      </c>
      <c r="U32" s="11" t="s">
        <v>34</v>
      </c>
      <c r="V32" s="19">
        <v>0.34000471862584936</v>
      </c>
      <c r="W32" s="19">
        <v>0.05</v>
      </c>
      <c r="X32" s="33">
        <v>5.1499999999999997E-2</v>
      </c>
      <c r="Y32" s="19">
        <v>0.15533808730809331</v>
      </c>
      <c r="Z32" s="33">
        <v>0.06</v>
      </c>
      <c r="AA32" s="20">
        <v>1</v>
      </c>
      <c r="AB32" s="31" t="s">
        <v>97</v>
      </c>
      <c r="AC32" s="115">
        <v>7.1</v>
      </c>
      <c r="AD32" s="115">
        <v>-6</v>
      </c>
      <c r="AE32" s="30" t="s">
        <v>180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</row>
    <row r="33" spans="1:88" ht="46.8">
      <c r="A33" s="26" t="s">
        <v>87</v>
      </c>
      <c r="B33" s="24" t="s">
        <v>36</v>
      </c>
      <c r="C33" s="3">
        <v>640</v>
      </c>
      <c r="D33" s="28" t="s">
        <v>10</v>
      </c>
      <c r="E33" s="11" t="s">
        <v>9</v>
      </c>
      <c r="F33" s="21" t="s">
        <v>44</v>
      </c>
      <c r="G33" s="27" t="s">
        <v>45</v>
      </c>
      <c r="H33" s="13" t="s">
        <v>100</v>
      </c>
      <c r="I33" s="13">
        <v>0.8</v>
      </c>
      <c r="J33" s="13">
        <v>0.02</v>
      </c>
      <c r="K33" s="13">
        <v>0.12</v>
      </c>
      <c r="L33" s="13">
        <v>0.1</v>
      </c>
      <c r="M33" s="13">
        <v>0.12</v>
      </c>
      <c r="N33" s="13">
        <v>51.58</v>
      </c>
      <c r="O33" s="13">
        <v>2.37</v>
      </c>
      <c r="P33" s="13">
        <v>0.56999999999999995</v>
      </c>
      <c r="Q33" s="19">
        <v>1</v>
      </c>
      <c r="R33" s="13">
        <v>1.9</v>
      </c>
      <c r="S33" s="12">
        <v>40.42</v>
      </c>
      <c r="T33" s="110" t="s">
        <v>183</v>
      </c>
      <c r="U33" s="11" t="s">
        <v>34</v>
      </c>
      <c r="V33" s="19">
        <v>0.30865536586691672</v>
      </c>
      <c r="W33" s="19">
        <v>0.05</v>
      </c>
      <c r="X33" s="33">
        <v>5.1499999999999997E-2</v>
      </c>
      <c r="Y33" s="19">
        <v>0.13338373182525667</v>
      </c>
      <c r="Z33" s="33">
        <v>0.06</v>
      </c>
      <c r="AA33" s="20">
        <v>1</v>
      </c>
      <c r="AB33" s="31" t="s">
        <v>97</v>
      </c>
      <c r="AC33" s="115">
        <v>6.91</v>
      </c>
      <c r="AD33" s="115">
        <v>-5.8</v>
      </c>
      <c r="AE33" s="110" t="s">
        <v>180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</row>
    <row r="34" spans="1:88" ht="46.8">
      <c r="A34" s="26" t="s">
        <v>87</v>
      </c>
      <c r="B34" s="24" t="s">
        <v>36</v>
      </c>
      <c r="C34" s="3">
        <v>640</v>
      </c>
      <c r="D34" s="28" t="s">
        <v>10</v>
      </c>
      <c r="E34" s="3" t="s">
        <v>11</v>
      </c>
      <c r="F34" s="21" t="s">
        <v>44</v>
      </c>
      <c r="G34" s="27" t="s">
        <v>45</v>
      </c>
      <c r="H34" s="13" t="s">
        <v>100</v>
      </c>
      <c r="I34" s="13">
        <v>10.5</v>
      </c>
      <c r="J34" s="13">
        <v>0.28999999999999998</v>
      </c>
      <c r="K34" s="13">
        <v>0.31</v>
      </c>
      <c r="L34" s="13">
        <v>3.4</v>
      </c>
      <c r="M34" s="13">
        <v>2.8</v>
      </c>
      <c r="N34" s="13">
        <v>39.22</v>
      </c>
      <c r="O34" s="13">
        <v>7.46</v>
      </c>
      <c r="P34" s="13">
        <v>0.24</v>
      </c>
      <c r="Q34" s="19">
        <v>3.13</v>
      </c>
      <c r="R34" s="13">
        <v>1.1000000000000001</v>
      </c>
      <c r="S34" s="13">
        <v>30.87</v>
      </c>
      <c r="T34" s="110" t="s">
        <v>183</v>
      </c>
      <c r="U34" s="11" t="s">
        <v>34</v>
      </c>
      <c r="V34" s="19">
        <v>0.29776974157013958</v>
      </c>
      <c r="W34" s="19">
        <v>0.05</v>
      </c>
      <c r="X34" s="33">
        <v>5.1499999999999997E-2</v>
      </c>
      <c r="Y34" s="19">
        <v>0.11741918320587896</v>
      </c>
      <c r="Z34" s="33">
        <v>0.06</v>
      </c>
      <c r="AA34" s="20">
        <v>1</v>
      </c>
      <c r="AB34" s="31" t="s">
        <v>97</v>
      </c>
      <c r="AC34" s="1">
        <v>6.9</v>
      </c>
      <c r="AD34" s="1">
        <v>-5.9</v>
      </c>
      <c r="AE34" s="110" t="s">
        <v>180</v>
      </c>
    </row>
    <row r="35" spans="1:88" ht="46.8">
      <c r="A35" s="26" t="s">
        <v>87</v>
      </c>
      <c r="B35" s="24" t="s">
        <v>36</v>
      </c>
      <c r="C35" s="3">
        <v>640</v>
      </c>
      <c r="D35" s="28" t="s">
        <v>10</v>
      </c>
      <c r="E35" s="3">
        <v>2350</v>
      </c>
      <c r="F35" s="21" t="s">
        <v>44</v>
      </c>
      <c r="G35" s="27" t="s">
        <v>45</v>
      </c>
      <c r="H35" s="13" t="s">
        <v>100</v>
      </c>
      <c r="I35" s="13">
        <v>4.96</v>
      </c>
      <c r="J35" s="13">
        <v>0.46</v>
      </c>
      <c r="K35" s="13">
        <v>0.23</v>
      </c>
      <c r="L35" s="13">
        <v>0.3</v>
      </c>
      <c r="M35" s="13">
        <v>0.25</v>
      </c>
      <c r="N35" s="13">
        <v>37.340000000000003</v>
      </c>
      <c r="O35" s="13">
        <v>6.24</v>
      </c>
      <c r="P35" s="13">
        <v>0.74</v>
      </c>
      <c r="Q35" s="19">
        <v>16.200000000000003</v>
      </c>
      <c r="R35" s="13">
        <v>6</v>
      </c>
      <c r="S35" s="13">
        <v>24.62</v>
      </c>
      <c r="T35" s="110" t="s">
        <v>183</v>
      </c>
      <c r="U35" s="11" t="s">
        <v>34</v>
      </c>
      <c r="V35" s="19">
        <v>0.25988717951961238</v>
      </c>
      <c r="W35" s="19">
        <v>0.05</v>
      </c>
      <c r="X35" s="33">
        <v>5.1499999999999997E-2</v>
      </c>
      <c r="Y35" s="19">
        <v>0.16551566693783709</v>
      </c>
      <c r="Z35" s="33">
        <v>0.06</v>
      </c>
      <c r="AA35" s="20">
        <v>1</v>
      </c>
      <c r="AB35" s="31" t="s">
        <v>97</v>
      </c>
      <c r="AE35" s="30"/>
    </row>
    <row r="36" spans="1:88" s="15" customFormat="1" ht="62.4">
      <c r="A36" s="26" t="s">
        <v>87</v>
      </c>
      <c r="B36" s="24" t="s">
        <v>36</v>
      </c>
      <c r="C36" s="3">
        <v>640</v>
      </c>
      <c r="D36" s="28" t="s">
        <v>10</v>
      </c>
      <c r="E36" s="11">
        <v>2098</v>
      </c>
      <c r="F36" s="21" t="s">
        <v>91</v>
      </c>
      <c r="G36" s="27" t="s">
        <v>41</v>
      </c>
      <c r="H36" s="13" t="s">
        <v>100</v>
      </c>
      <c r="I36" s="13">
        <v>0.5</v>
      </c>
      <c r="J36" s="13">
        <v>0.02</v>
      </c>
      <c r="K36" s="13">
        <v>0.06</v>
      </c>
      <c r="L36" s="13">
        <v>0.1</v>
      </c>
      <c r="M36" s="13">
        <v>0.01</v>
      </c>
      <c r="N36" s="19">
        <v>27.49</v>
      </c>
      <c r="O36" s="19">
        <v>12.88</v>
      </c>
      <c r="P36" s="19">
        <v>2.23</v>
      </c>
      <c r="Q36" s="19">
        <v>8.27</v>
      </c>
      <c r="R36" s="13">
        <v>3.9</v>
      </c>
      <c r="S36" s="12">
        <v>38.4</v>
      </c>
      <c r="T36" s="110" t="s">
        <v>183</v>
      </c>
      <c r="U36" s="11" t="s">
        <v>34</v>
      </c>
      <c r="V36" s="19">
        <v>0.43786119564721177</v>
      </c>
      <c r="W36" s="19">
        <v>0.05</v>
      </c>
      <c r="X36" s="33">
        <v>3.6415999231107193E-2</v>
      </c>
      <c r="Y36" s="19">
        <v>0.21241157754868548</v>
      </c>
      <c r="Z36" s="33">
        <v>0.06</v>
      </c>
      <c r="AA36" s="20">
        <v>2</v>
      </c>
      <c r="AB36" s="31" t="s">
        <v>97</v>
      </c>
      <c r="AC36" s="115">
        <v>10.9</v>
      </c>
      <c r="AD36" s="115">
        <v>-4.5</v>
      </c>
      <c r="AE36" s="110" t="s">
        <v>180</v>
      </c>
    </row>
    <row r="37" spans="1:88" ht="62.4">
      <c r="A37" s="26" t="s">
        <v>87</v>
      </c>
      <c r="B37" s="24" t="s">
        <v>36</v>
      </c>
      <c r="C37" s="3">
        <v>640</v>
      </c>
      <c r="D37" s="28" t="s">
        <v>10</v>
      </c>
      <c r="E37" s="11" t="s">
        <v>12</v>
      </c>
      <c r="F37" s="21" t="s">
        <v>42</v>
      </c>
      <c r="G37" s="27" t="s">
        <v>41</v>
      </c>
      <c r="H37" s="13" t="s">
        <v>100</v>
      </c>
      <c r="I37" s="13">
        <v>0.2</v>
      </c>
      <c r="J37" s="13">
        <v>0.02</v>
      </c>
      <c r="K37" s="13">
        <v>7.0000000000000007E-2</v>
      </c>
      <c r="L37" s="13">
        <v>0.1</v>
      </c>
      <c r="M37" s="13">
        <v>0.01</v>
      </c>
      <c r="N37" s="13">
        <v>27.33</v>
      </c>
      <c r="O37" s="13">
        <v>12.48</v>
      </c>
      <c r="P37" s="13">
        <v>2.41</v>
      </c>
      <c r="Q37" s="19">
        <v>10.02</v>
      </c>
      <c r="R37" s="13">
        <v>1.9</v>
      </c>
      <c r="S37" s="13">
        <v>39.1</v>
      </c>
      <c r="T37" s="110" t="s">
        <v>183</v>
      </c>
      <c r="U37" s="11" t="s">
        <v>34</v>
      </c>
      <c r="V37" s="19">
        <v>0.4021925126451707</v>
      </c>
      <c r="W37" s="19">
        <v>0.05</v>
      </c>
      <c r="X37" s="33">
        <v>5.1499999999999997E-2</v>
      </c>
      <c r="Y37" s="19">
        <v>0.17394797707016224</v>
      </c>
      <c r="Z37" s="33">
        <v>0.06</v>
      </c>
      <c r="AA37" s="20">
        <v>1</v>
      </c>
      <c r="AB37" s="31" t="s">
        <v>97</v>
      </c>
      <c r="AC37" s="115">
        <v>9.8000000000000007</v>
      </c>
      <c r="AD37" s="115">
        <v>-4</v>
      </c>
      <c r="AE37" s="110" t="s">
        <v>180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</row>
    <row r="38" spans="1:88" ht="15" customHeight="1">
      <c r="A38" s="26" t="s">
        <v>87</v>
      </c>
      <c r="B38" s="24" t="s">
        <v>46</v>
      </c>
      <c r="C38" s="3">
        <v>370</v>
      </c>
      <c r="D38" s="28" t="s">
        <v>35</v>
      </c>
      <c r="E38" s="11" t="s">
        <v>17</v>
      </c>
      <c r="F38" s="6" t="s">
        <v>47</v>
      </c>
      <c r="H38" s="13" t="s">
        <v>100</v>
      </c>
      <c r="I38" s="12">
        <v>33.32</v>
      </c>
      <c r="J38" s="12">
        <v>0.19</v>
      </c>
      <c r="K38" s="12">
        <v>0.24</v>
      </c>
      <c r="L38" s="12">
        <v>0.46</v>
      </c>
      <c r="M38" s="12">
        <v>0.35</v>
      </c>
      <c r="N38" s="12">
        <v>7.2</v>
      </c>
      <c r="O38" s="17">
        <v>39.700000000000003</v>
      </c>
      <c r="P38" s="12">
        <v>0.43</v>
      </c>
      <c r="Q38" s="19">
        <v>12.68</v>
      </c>
      <c r="R38" s="12">
        <v>4.9800000000000004</v>
      </c>
      <c r="S38" s="12">
        <v>0.96</v>
      </c>
      <c r="T38" s="31" t="s">
        <v>97</v>
      </c>
      <c r="U38" s="11" t="s">
        <v>32</v>
      </c>
      <c r="V38" s="19">
        <v>0.38856019710453177</v>
      </c>
      <c r="W38" s="19">
        <v>0.05</v>
      </c>
      <c r="X38" s="33">
        <v>5.1499999999999997E-2</v>
      </c>
      <c r="Y38" s="19">
        <v>0.19748081090431396</v>
      </c>
      <c r="Z38" s="33">
        <v>0.06</v>
      </c>
      <c r="AA38" s="20">
        <v>1</v>
      </c>
      <c r="AB38" s="31" t="s">
        <v>97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</row>
    <row r="39" spans="1:88" ht="15" customHeight="1">
      <c r="A39" s="26" t="s">
        <v>87</v>
      </c>
      <c r="B39" s="24" t="s">
        <v>46</v>
      </c>
      <c r="C39" s="3">
        <v>370</v>
      </c>
      <c r="D39" s="28" t="s">
        <v>35</v>
      </c>
      <c r="E39" s="3" t="s">
        <v>18</v>
      </c>
      <c r="F39" s="6" t="s">
        <v>47</v>
      </c>
      <c r="H39" s="13" t="s">
        <v>100</v>
      </c>
      <c r="I39" s="12">
        <v>33.130000000000003</v>
      </c>
      <c r="J39" s="12">
        <v>0.13</v>
      </c>
      <c r="K39" s="12">
        <v>0.21</v>
      </c>
      <c r="L39" s="12" t="s">
        <v>19</v>
      </c>
      <c r="M39" s="12">
        <v>0.2</v>
      </c>
      <c r="N39" s="12">
        <v>7.52</v>
      </c>
      <c r="O39" s="17">
        <v>40.5</v>
      </c>
      <c r="P39" s="12">
        <v>0.41</v>
      </c>
      <c r="Q39" s="19">
        <v>12.01</v>
      </c>
      <c r="R39" s="12">
        <v>5.34</v>
      </c>
      <c r="S39" s="12">
        <v>0.46</v>
      </c>
      <c r="T39" s="31" t="s">
        <v>97</v>
      </c>
      <c r="U39" s="11" t="s">
        <v>32</v>
      </c>
      <c r="V39" s="19">
        <v>0.31963259188692056</v>
      </c>
      <c r="W39" s="19">
        <v>0.05</v>
      </c>
      <c r="X39" s="33">
        <v>5.1499999999999997E-2</v>
      </c>
      <c r="Y39" s="19">
        <v>0.17273665483148293</v>
      </c>
      <c r="Z39" s="33">
        <v>0.06</v>
      </c>
      <c r="AA39" s="20">
        <v>1</v>
      </c>
      <c r="AB39" s="31" t="s">
        <v>97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</row>
    <row r="40" spans="1:88" s="15" customFormat="1" ht="31.2">
      <c r="A40" s="26" t="s">
        <v>87</v>
      </c>
      <c r="B40" s="24" t="s">
        <v>46</v>
      </c>
      <c r="C40" s="3">
        <v>370</v>
      </c>
      <c r="D40" s="28" t="s">
        <v>10</v>
      </c>
      <c r="E40" s="3" t="s">
        <v>20</v>
      </c>
      <c r="F40" s="6" t="s">
        <v>90</v>
      </c>
      <c r="G40" s="25"/>
      <c r="H40" s="13" t="s">
        <v>100</v>
      </c>
      <c r="I40" s="12" t="s">
        <v>95</v>
      </c>
      <c r="J40" s="12">
        <v>4.9999999999999998E-7</v>
      </c>
      <c r="K40" s="12">
        <v>2.6956521739130435E-2</v>
      </c>
      <c r="L40" s="12">
        <v>1.8888888888888889E-2</v>
      </c>
      <c r="M40" s="12" t="s">
        <v>4</v>
      </c>
      <c r="N40" s="12">
        <v>49.839999999999996</v>
      </c>
      <c r="O40" s="12">
        <v>1.2</v>
      </c>
      <c r="P40" s="12">
        <v>6.6610909090909096E-2</v>
      </c>
      <c r="Q40" s="19">
        <v>0.12857142857142856</v>
      </c>
      <c r="R40" s="12">
        <v>5.0387096774193556E-2</v>
      </c>
      <c r="S40" s="12" t="s">
        <v>95</v>
      </c>
      <c r="T40" s="31" t="s">
        <v>97</v>
      </c>
      <c r="U40" s="11" t="s">
        <v>34</v>
      </c>
      <c r="V40" s="19">
        <v>0.36472198964905267</v>
      </c>
      <c r="W40" s="19">
        <v>0.05</v>
      </c>
      <c r="X40" s="33">
        <v>5.1499999999999997E-2</v>
      </c>
      <c r="Y40" s="19">
        <v>0.14904326891937766</v>
      </c>
      <c r="Z40" s="33">
        <v>0.06</v>
      </c>
      <c r="AA40" s="20">
        <v>1</v>
      </c>
      <c r="AB40" s="31" t="s">
        <v>97</v>
      </c>
      <c r="AC40" s="1">
        <v>7.94</v>
      </c>
      <c r="AD40" s="1">
        <v>-2.82</v>
      </c>
      <c r="AE40" s="31" t="s">
        <v>97</v>
      </c>
    </row>
    <row r="41" spans="1:88" s="15" customFormat="1" ht="31.2">
      <c r="A41" s="26" t="s">
        <v>87</v>
      </c>
      <c r="B41" s="24" t="s">
        <v>48</v>
      </c>
      <c r="C41" s="11">
        <v>133</v>
      </c>
      <c r="D41" s="28" t="s">
        <v>10</v>
      </c>
      <c r="E41" s="11" t="s">
        <v>50</v>
      </c>
      <c r="F41" s="6" t="s">
        <v>90</v>
      </c>
      <c r="G41" s="25" t="s">
        <v>94</v>
      </c>
      <c r="H41" s="13" t="s">
        <v>100</v>
      </c>
      <c r="I41" s="12" t="s">
        <v>95</v>
      </c>
      <c r="J41" s="12">
        <v>1.1666666666666667E-2</v>
      </c>
      <c r="K41" s="12">
        <v>9.4347826086956535E-2</v>
      </c>
      <c r="L41" s="12">
        <v>1.2277777777777779</v>
      </c>
      <c r="M41" s="12">
        <v>0.98820512820512807</v>
      </c>
      <c r="N41" s="12">
        <v>44.099999999999994</v>
      </c>
      <c r="O41" s="12">
        <v>0.35</v>
      </c>
      <c r="P41" s="12">
        <v>1.3490000000000002</v>
      </c>
      <c r="Q41" s="19">
        <v>3.2571428571428571</v>
      </c>
      <c r="R41" s="12">
        <v>0.4740967741935484</v>
      </c>
      <c r="S41" s="12" t="s">
        <v>95</v>
      </c>
      <c r="T41" s="31" t="s">
        <v>97</v>
      </c>
      <c r="U41" s="11" t="s">
        <v>34</v>
      </c>
      <c r="V41" s="19">
        <v>0.39180920478711678</v>
      </c>
      <c r="W41" s="19">
        <v>0.05</v>
      </c>
      <c r="X41" s="33">
        <v>5.1499999999999997E-2</v>
      </c>
      <c r="Y41" s="19">
        <v>0.21373214176459582</v>
      </c>
      <c r="Z41" s="33">
        <v>0.06</v>
      </c>
      <c r="AA41" s="20">
        <v>1</v>
      </c>
      <c r="AB41" s="31" t="s">
        <v>97</v>
      </c>
      <c r="AC41" s="1">
        <v>11.01</v>
      </c>
      <c r="AD41" s="1">
        <v>-3.86</v>
      </c>
      <c r="AE41" s="31" t="s">
        <v>97</v>
      </c>
    </row>
    <row r="42" spans="1:88" s="15" customFormat="1" ht="31.2">
      <c r="A42" s="26" t="s">
        <v>87</v>
      </c>
      <c r="B42" s="24" t="s">
        <v>48</v>
      </c>
      <c r="C42" s="11">
        <v>133</v>
      </c>
      <c r="D42" s="28" t="s">
        <v>10</v>
      </c>
      <c r="E42" s="11" t="s">
        <v>51</v>
      </c>
      <c r="F42" s="6" t="s">
        <v>42</v>
      </c>
      <c r="G42" s="25" t="s">
        <v>94</v>
      </c>
      <c r="H42" s="109" t="s">
        <v>100</v>
      </c>
      <c r="I42" s="12" t="s">
        <v>95</v>
      </c>
      <c r="J42" s="12">
        <v>0.1</v>
      </c>
      <c r="K42" s="12">
        <v>0.18869565217391307</v>
      </c>
      <c r="L42" s="12">
        <v>0.90666666666666662</v>
      </c>
      <c r="M42" s="12">
        <v>0.54230769230769227</v>
      </c>
      <c r="N42" s="12">
        <v>37.379999999999995</v>
      </c>
      <c r="O42" s="12">
        <v>0.41666666666666669</v>
      </c>
      <c r="P42" s="12">
        <v>2.3752727272727276</v>
      </c>
      <c r="Q42" s="19">
        <v>17.285714285714285</v>
      </c>
      <c r="R42" s="12" t="s">
        <v>168</v>
      </c>
      <c r="S42" s="12" t="s">
        <v>95</v>
      </c>
      <c r="T42" s="31" t="s">
        <v>97</v>
      </c>
      <c r="U42" s="11" t="s">
        <v>34</v>
      </c>
      <c r="V42" s="19">
        <v>0.27825314378228488</v>
      </c>
      <c r="W42" s="19">
        <v>0.05</v>
      </c>
      <c r="X42" s="33">
        <v>5.1499999999999997E-2</v>
      </c>
      <c r="Y42" s="19">
        <v>0.18057192625346746</v>
      </c>
      <c r="Z42" s="33">
        <v>0.06</v>
      </c>
      <c r="AA42" s="20">
        <v>1</v>
      </c>
      <c r="AB42" s="31" t="s">
        <v>97</v>
      </c>
      <c r="AC42" s="1">
        <v>22.5</v>
      </c>
      <c r="AD42" s="1">
        <v>-4.58</v>
      </c>
      <c r="AE42" s="31" t="s">
        <v>97</v>
      </c>
    </row>
    <row r="43" spans="1:88" s="15" customFormat="1" ht="31.2">
      <c r="A43" s="26" t="s">
        <v>87</v>
      </c>
      <c r="B43" s="24" t="s">
        <v>48</v>
      </c>
      <c r="C43" s="11">
        <v>133</v>
      </c>
      <c r="D43" s="28" t="s">
        <v>10</v>
      </c>
      <c r="E43" s="11" t="s">
        <v>49</v>
      </c>
      <c r="F43" s="6" t="s">
        <v>42</v>
      </c>
      <c r="G43" s="25" t="s">
        <v>94</v>
      </c>
      <c r="H43" s="13" t="s">
        <v>100</v>
      </c>
      <c r="I43" s="12" t="s">
        <v>95</v>
      </c>
      <c r="J43" s="12">
        <v>4.9999999999999998E-8</v>
      </c>
      <c r="K43" s="12">
        <v>1.3478260869565217E-2</v>
      </c>
      <c r="L43" s="12">
        <v>1.8888888888888889E-2</v>
      </c>
      <c r="M43" s="12">
        <v>1.2051282051282051E-2</v>
      </c>
      <c r="N43" s="12">
        <v>27.929999999999996</v>
      </c>
      <c r="O43" s="12">
        <v>9.0666666666666682</v>
      </c>
      <c r="P43" s="12">
        <v>4.2212727272727282</v>
      </c>
      <c r="Q43" s="19">
        <v>15.214285714285715</v>
      </c>
      <c r="R43" s="12">
        <v>2.9774193548387097E-2</v>
      </c>
      <c r="S43" s="12" t="s">
        <v>95</v>
      </c>
      <c r="T43" s="31" t="s">
        <v>97</v>
      </c>
      <c r="U43" s="11" t="s">
        <v>34</v>
      </c>
      <c r="V43" s="19">
        <v>0.29611938964913825</v>
      </c>
      <c r="W43" s="19">
        <v>0.05</v>
      </c>
      <c r="X43" s="33">
        <v>5.1499999999999997E-2</v>
      </c>
      <c r="Y43" s="19">
        <v>0.14175885221177487</v>
      </c>
      <c r="Z43" s="33">
        <v>0.06</v>
      </c>
      <c r="AA43" s="20">
        <v>1</v>
      </c>
      <c r="AB43" s="31" t="s">
        <v>97</v>
      </c>
      <c r="AC43" s="1">
        <v>24.8</v>
      </c>
      <c r="AD43" s="1">
        <v>-4.62</v>
      </c>
      <c r="AE43" s="31" t="s">
        <v>97</v>
      </c>
    </row>
    <row r="44" spans="1:88" s="15" customFormat="1" ht="31.2">
      <c r="A44" s="26" t="s">
        <v>87</v>
      </c>
      <c r="B44" s="25" t="s">
        <v>53</v>
      </c>
      <c r="C44" s="11">
        <v>1400</v>
      </c>
      <c r="D44" s="28" t="s">
        <v>10</v>
      </c>
      <c r="E44" s="11" t="s">
        <v>52</v>
      </c>
      <c r="F44" s="6" t="s">
        <v>90</v>
      </c>
      <c r="G44" s="25"/>
      <c r="H44" s="13" t="s">
        <v>100</v>
      </c>
      <c r="I44" s="12">
        <v>1.01</v>
      </c>
      <c r="J44" s="12">
        <v>0.01</v>
      </c>
      <c r="K44" s="12">
        <v>1.3478260869565217E-2</v>
      </c>
      <c r="L44" s="12">
        <v>0</v>
      </c>
      <c r="M44" s="12">
        <v>2.4102564102564103E-2</v>
      </c>
      <c r="N44" s="12">
        <v>22.5</v>
      </c>
      <c r="O44" s="12">
        <v>3.65</v>
      </c>
      <c r="P44" s="12">
        <v>0.92</v>
      </c>
      <c r="Q44" s="19">
        <v>3.62</v>
      </c>
      <c r="R44" s="12">
        <v>0.30690322580645163</v>
      </c>
      <c r="S44" s="12">
        <v>24.67</v>
      </c>
      <c r="T44" s="31" t="s">
        <v>97</v>
      </c>
      <c r="U44" s="11" t="s">
        <v>34</v>
      </c>
      <c r="V44" s="19">
        <v>0.33175198578094239</v>
      </c>
      <c r="W44" s="19">
        <v>0.05</v>
      </c>
      <c r="X44" s="33">
        <v>5.1499999999999997E-2</v>
      </c>
      <c r="Y44" s="19">
        <v>0.22178160152342125</v>
      </c>
      <c r="Z44" s="33">
        <v>0.06</v>
      </c>
      <c r="AA44" s="20">
        <v>1</v>
      </c>
      <c r="AB44" s="31" t="s">
        <v>97</v>
      </c>
      <c r="AC44" s="1">
        <v>17.11</v>
      </c>
      <c r="AD44" s="1">
        <v>-6.23</v>
      </c>
      <c r="AE44" s="31" t="s">
        <v>97</v>
      </c>
    </row>
    <row r="45" spans="1:88" s="15" customFormat="1" ht="31.2">
      <c r="A45" s="26" t="s">
        <v>87</v>
      </c>
      <c r="B45" s="25" t="s">
        <v>165</v>
      </c>
      <c r="C45" s="106">
        <v>80</v>
      </c>
      <c r="D45" s="28" t="s">
        <v>10</v>
      </c>
      <c r="E45" s="106" t="s">
        <v>167</v>
      </c>
      <c r="F45" s="6" t="s">
        <v>90</v>
      </c>
      <c r="G45" s="25"/>
      <c r="H45" s="104"/>
      <c r="I45" s="12"/>
      <c r="J45" s="12"/>
      <c r="K45" s="12"/>
      <c r="L45" s="12"/>
      <c r="M45" s="12"/>
      <c r="N45" s="12"/>
      <c r="O45" s="12"/>
      <c r="P45" s="12"/>
      <c r="Q45" s="19"/>
      <c r="R45" s="12"/>
      <c r="S45" s="12"/>
      <c r="T45" s="31"/>
      <c r="U45" s="106" t="s">
        <v>34</v>
      </c>
      <c r="V45" s="19">
        <v>0.37522836887851363</v>
      </c>
      <c r="W45" s="19">
        <v>0.05</v>
      </c>
      <c r="X45" s="33">
        <v>5.1499999999999997E-2</v>
      </c>
      <c r="Y45" s="19">
        <v>0.2567207772296225</v>
      </c>
      <c r="Z45" s="33">
        <v>0.06</v>
      </c>
      <c r="AA45" s="20">
        <v>1</v>
      </c>
      <c r="AB45" s="31" t="s">
        <v>97</v>
      </c>
      <c r="AC45" s="1">
        <v>12.72</v>
      </c>
      <c r="AD45" s="1">
        <v>-4.99</v>
      </c>
      <c r="AE45" s="31" t="s">
        <v>97</v>
      </c>
    </row>
    <row r="46" spans="1:88" s="15" customFormat="1" ht="15" customHeight="1">
      <c r="A46" s="26" t="s">
        <v>87</v>
      </c>
      <c r="B46" s="24" t="s">
        <v>54</v>
      </c>
      <c r="C46" s="3">
        <v>270</v>
      </c>
      <c r="D46" s="27" t="s">
        <v>8</v>
      </c>
      <c r="E46" s="3" t="s">
        <v>24</v>
      </c>
      <c r="F46" s="6" t="s">
        <v>91</v>
      </c>
      <c r="G46" s="25"/>
      <c r="H46" s="13" t="s">
        <v>100</v>
      </c>
      <c r="I46" s="13">
        <v>0.53</v>
      </c>
      <c r="J46" s="13">
        <v>0.06</v>
      </c>
      <c r="K46" s="13">
        <v>0.13</v>
      </c>
      <c r="L46" s="13">
        <v>0.09</v>
      </c>
      <c r="M46" s="13">
        <v>0.02</v>
      </c>
      <c r="N46" s="13">
        <v>29.04</v>
      </c>
      <c r="O46" s="13">
        <v>19.260000000000002</v>
      </c>
      <c r="P46" s="13">
        <v>0.52</v>
      </c>
      <c r="Q46" s="19">
        <v>3.16</v>
      </c>
      <c r="R46" s="13">
        <v>0.12</v>
      </c>
      <c r="S46" s="13">
        <v>45.13</v>
      </c>
      <c r="T46" s="108" t="s">
        <v>181</v>
      </c>
      <c r="U46" s="11" t="s">
        <v>34</v>
      </c>
      <c r="V46" s="19">
        <v>0.34145979041075564</v>
      </c>
      <c r="W46" s="19">
        <v>0.05</v>
      </c>
      <c r="X46" s="33">
        <v>5.1499999999999997E-2</v>
      </c>
      <c r="Y46" s="19">
        <v>0.22554486647373631</v>
      </c>
      <c r="Z46" s="33">
        <v>0.06</v>
      </c>
      <c r="AA46" s="20">
        <v>1</v>
      </c>
      <c r="AB46" s="31" t="s">
        <v>97</v>
      </c>
      <c r="AC46" s="1">
        <v>6.5</v>
      </c>
      <c r="AD46" s="1">
        <v>-5</v>
      </c>
      <c r="AE46" s="11" t="s">
        <v>181</v>
      </c>
    </row>
    <row r="47" spans="1:88" s="15" customFormat="1" ht="15" customHeight="1">
      <c r="A47" s="26" t="s">
        <v>87</v>
      </c>
      <c r="B47" s="24" t="s">
        <v>54</v>
      </c>
      <c r="C47" s="3">
        <v>270</v>
      </c>
      <c r="D47" s="27" t="s">
        <v>8</v>
      </c>
      <c r="E47" s="11" t="s">
        <v>25</v>
      </c>
      <c r="F47" s="6" t="s">
        <v>91</v>
      </c>
      <c r="G47" s="27"/>
      <c r="H47" s="13"/>
      <c r="I47" s="13"/>
      <c r="J47" s="13"/>
      <c r="K47" s="13"/>
      <c r="L47" s="13"/>
      <c r="M47" s="13"/>
      <c r="N47" s="12"/>
      <c r="O47" s="12"/>
      <c r="P47" s="12"/>
      <c r="Q47" s="19"/>
      <c r="R47" s="13"/>
      <c r="S47" s="13"/>
      <c r="T47" s="108"/>
      <c r="U47" s="11" t="s">
        <v>34</v>
      </c>
      <c r="V47" s="19">
        <v>0.32065804014569743</v>
      </c>
      <c r="W47" s="19">
        <v>0.05</v>
      </c>
      <c r="X47" s="33">
        <v>5.1499999999999997E-2</v>
      </c>
      <c r="Y47" s="19">
        <v>0.1765597444686825</v>
      </c>
      <c r="Z47" s="33">
        <v>0.06</v>
      </c>
      <c r="AA47" s="20">
        <v>1</v>
      </c>
      <c r="AB47" s="31" t="s">
        <v>97</v>
      </c>
      <c r="AC47" s="1">
        <v>7</v>
      </c>
      <c r="AD47" s="1">
        <v>-4.8</v>
      </c>
      <c r="AE47" s="108" t="s">
        <v>181</v>
      </c>
    </row>
    <row r="48" spans="1:88" s="15" customFormat="1" ht="31.2">
      <c r="A48" s="26" t="s">
        <v>87</v>
      </c>
      <c r="B48" s="24" t="s">
        <v>54</v>
      </c>
      <c r="C48" s="3">
        <v>270</v>
      </c>
      <c r="D48" s="28" t="s">
        <v>10</v>
      </c>
      <c r="E48" s="3" t="s">
        <v>55</v>
      </c>
      <c r="F48" s="6" t="s">
        <v>90</v>
      </c>
      <c r="G48" s="27"/>
      <c r="H48" s="109"/>
      <c r="I48" s="13"/>
      <c r="J48" s="12"/>
      <c r="K48" s="13"/>
      <c r="L48" s="13"/>
      <c r="M48" s="13"/>
      <c r="N48" s="12"/>
      <c r="O48" s="12"/>
      <c r="P48" s="12"/>
      <c r="Q48" s="12"/>
      <c r="R48" s="13"/>
      <c r="S48" s="13"/>
      <c r="T48" s="31"/>
      <c r="U48" s="11" t="s">
        <v>34</v>
      </c>
      <c r="V48" s="19">
        <v>0.29340746580694788</v>
      </c>
      <c r="W48" s="19">
        <v>0.05</v>
      </c>
      <c r="X48" s="33">
        <v>5.1499999999999997E-2</v>
      </c>
      <c r="Y48" s="19">
        <v>0.13276898081719016</v>
      </c>
      <c r="Z48" s="33">
        <v>0.06</v>
      </c>
      <c r="AA48" s="20">
        <v>1</v>
      </c>
      <c r="AB48" s="31" t="s">
        <v>97</v>
      </c>
      <c r="AC48" s="1"/>
      <c r="AD48" s="1"/>
      <c r="AE48" s="11"/>
    </row>
    <row r="49" spans="1:88" ht="31.2">
      <c r="A49" s="26" t="s">
        <v>87</v>
      </c>
      <c r="B49" s="24" t="s">
        <v>54</v>
      </c>
      <c r="C49" s="3">
        <v>270</v>
      </c>
      <c r="D49" s="28" t="s">
        <v>10</v>
      </c>
      <c r="E49" s="11" t="s">
        <v>56</v>
      </c>
      <c r="F49" s="6" t="s">
        <v>90</v>
      </c>
      <c r="G49" s="27"/>
      <c r="N49" s="12"/>
      <c r="O49" s="12"/>
      <c r="P49" s="12"/>
      <c r="U49" s="11" t="s">
        <v>34</v>
      </c>
      <c r="V49" s="19">
        <v>0.36074768256330303</v>
      </c>
      <c r="W49" s="19">
        <v>0.05</v>
      </c>
      <c r="X49" s="33">
        <v>5.1499999999999997E-2</v>
      </c>
      <c r="Y49" s="19">
        <v>0.22168688456321825</v>
      </c>
      <c r="Z49" s="33">
        <v>0.06</v>
      </c>
      <c r="AA49" s="20">
        <v>1</v>
      </c>
      <c r="AB49" s="31" t="s">
        <v>97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</row>
    <row r="50" spans="1:88" ht="46.8">
      <c r="A50" s="26" t="s">
        <v>87</v>
      </c>
      <c r="B50" s="25" t="s">
        <v>57</v>
      </c>
      <c r="C50" s="11">
        <v>440</v>
      </c>
      <c r="D50" s="27" t="s">
        <v>8</v>
      </c>
      <c r="E50" s="11" t="s">
        <v>23</v>
      </c>
      <c r="F50" s="6" t="s">
        <v>90</v>
      </c>
      <c r="G50" s="27"/>
      <c r="H50" s="12"/>
      <c r="S50" s="12"/>
      <c r="T50" s="31"/>
      <c r="U50" s="11" t="s">
        <v>34</v>
      </c>
      <c r="V50" s="19">
        <v>0.36259297487250508</v>
      </c>
      <c r="W50" s="19">
        <v>0.05</v>
      </c>
      <c r="X50" s="33">
        <v>5.1499999999999997E-2</v>
      </c>
      <c r="Y50" s="19">
        <v>0.18048968152902611</v>
      </c>
      <c r="Z50" s="33">
        <v>0.06</v>
      </c>
      <c r="AA50" s="20">
        <v>1</v>
      </c>
      <c r="AB50" s="31" t="s">
        <v>97</v>
      </c>
      <c r="AC50" s="115">
        <v>7.32</v>
      </c>
      <c r="AD50" s="115">
        <v>-5.6</v>
      </c>
      <c r="AE50" s="30" t="s">
        <v>182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</row>
    <row r="51" spans="1:88" ht="46.8">
      <c r="A51" s="26" t="s">
        <v>87</v>
      </c>
      <c r="B51" s="25" t="s">
        <v>57</v>
      </c>
      <c r="C51" s="11">
        <v>440</v>
      </c>
      <c r="D51" s="27" t="s">
        <v>8</v>
      </c>
      <c r="E51" s="11" t="s">
        <v>21</v>
      </c>
      <c r="F51" s="6" t="s">
        <v>90</v>
      </c>
      <c r="G51" s="27"/>
      <c r="H51" s="12"/>
      <c r="S51" s="12"/>
      <c r="T51" s="31"/>
      <c r="U51" s="11" t="s">
        <v>34</v>
      </c>
      <c r="V51" s="19">
        <v>0.32846038598926175</v>
      </c>
      <c r="W51" s="19">
        <v>0.05</v>
      </c>
      <c r="X51" s="33">
        <v>3.6415999231107193E-2</v>
      </c>
      <c r="Y51" s="19">
        <v>0.15685852075624152</v>
      </c>
      <c r="Z51" s="33">
        <v>0.06</v>
      </c>
      <c r="AA51" s="20">
        <v>2</v>
      </c>
      <c r="AB51" s="31" t="s">
        <v>97</v>
      </c>
      <c r="AC51" s="115">
        <v>7.5</v>
      </c>
      <c r="AD51" s="115">
        <v>-5.93</v>
      </c>
      <c r="AE51" s="110" t="s">
        <v>182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</row>
    <row r="52" spans="1:88" ht="46.8">
      <c r="A52" s="26" t="s">
        <v>87</v>
      </c>
      <c r="B52" s="25" t="s">
        <v>57</v>
      </c>
      <c r="C52" s="11">
        <v>440</v>
      </c>
      <c r="D52" s="27" t="s">
        <v>8</v>
      </c>
      <c r="E52" s="3" t="s">
        <v>22</v>
      </c>
      <c r="F52" s="6" t="s">
        <v>90</v>
      </c>
      <c r="G52" s="27"/>
      <c r="H52" s="12"/>
      <c r="S52" s="12"/>
      <c r="T52" s="31"/>
      <c r="U52" s="11" t="s">
        <v>34</v>
      </c>
      <c r="V52" s="19">
        <v>0.36675435717925581</v>
      </c>
      <c r="W52" s="19">
        <v>0.05</v>
      </c>
      <c r="X52" s="33">
        <v>5.1499999999999997E-2</v>
      </c>
      <c r="Y52" s="19">
        <v>0.21956285902599143</v>
      </c>
      <c r="Z52" s="33">
        <v>0.06</v>
      </c>
      <c r="AA52" s="20">
        <v>1</v>
      </c>
      <c r="AB52" s="31" t="s">
        <v>97</v>
      </c>
      <c r="AC52" s="115">
        <v>6.67</v>
      </c>
      <c r="AD52" s="115">
        <v>-5.62</v>
      </c>
      <c r="AE52" s="110" t="s">
        <v>182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</row>
    <row r="53" spans="1:88" s="15" customFormat="1" ht="31.2">
      <c r="A53" s="26" t="s">
        <v>87</v>
      </c>
      <c r="B53" s="25" t="s">
        <v>69</v>
      </c>
      <c r="C53" s="11">
        <v>440</v>
      </c>
      <c r="D53" s="28" t="s">
        <v>10</v>
      </c>
      <c r="E53" s="11" t="s">
        <v>68</v>
      </c>
      <c r="F53" s="6" t="s">
        <v>90</v>
      </c>
      <c r="G53" s="27"/>
      <c r="H53" s="12"/>
      <c r="I53" s="13"/>
      <c r="J53" s="13"/>
      <c r="K53" s="13"/>
      <c r="L53" s="13"/>
      <c r="M53" s="13"/>
      <c r="N53" s="13"/>
      <c r="O53" s="12"/>
      <c r="P53" s="12"/>
      <c r="Q53" s="19"/>
      <c r="R53" s="13"/>
      <c r="S53" s="12"/>
      <c r="T53" s="31"/>
      <c r="U53" s="11" t="s">
        <v>34</v>
      </c>
      <c r="V53" s="19">
        <v>0.35527864521868346</v>
      </c>
      <c r="W53" s="19">
        <v>0.05</v>
      </c>
      <c r="X53" s="33">
        <v>5.1499999999999997E-2</v>
      </c>
      <c r="Y53" s="19">
        <v>0.17692691493066068</v>
      </c>
      <c r="Z53" s="33">
        <v>0.06</v>
      </c>
      <c r="AA53" s="20">
        <v>1</v>
      </c>
      <c r="AB53" s="31" t="s">
        <v>97</v>
      </c>
      <c r="AC53" s="115"/>
      <c r="AD53" s="115"/>
      <c r="AE53" s="31"/>
    </row>
    <row r="54" spans="1:88" ht="31.2">
      <c r="A54" s="26" t="s">
        <v>87</v>
      </c>
      <c r="B54" s="25" t="s">
        <v>159</v>
      </c>
      <c r="C54" s="11">
        <v>120</v>
      </c>
      <c r="D54" s="28" t="s">
        <v>10</v>
      </c>
      <c r="E54" s="11" t="s">
        <v>58</v>
      </c>
      <c r="F54" s="6" t="s">
        <v>91</v>
      </c>
      <c r="H54" s="13" t="s">
        <v>100</v>
      </c>
      <c r="I54" s="12" t="s">
        <v>95</v>
      </c>
      <c r="J54" s="12">
        <v>4.9999999999999998E-8</v>
      </c>
      <c r="K54" s="12">
        <v>0.10782608695652174</v>
      </c>
      <c r="L54" s="12">
        <v>1.8888888888888889E-2</v>
      </c>
      <c r="M54" s="12">
        <v>1.2051282051282051E-2</v>
      </c>
      <c r="N54" s="12">
        <v>28.84</v>
      </c>
      <c r="O54" s="12">
        <v>19.583333333333336</v>
      </c>
      <c r="P54" s="12">
        <v>0.27496363636363641</v>
      </c>
      <c r="Q54" s="19">
        <v>0.72857142857142865</v>
      </c>
      <c r="R54" s="12">
        <v>0.80390322580645168</v>
      </c>
      <c r="S54" s="12" t="s">
        <v>95</v>
      </c>
      <c r="T54" s="31" t="s">
        <v>97</v>
      </c>
      <c r="U54" s="11" t="s">
        <v>34</v>
      </c>
      <c r="V54" s="19">
        <v>0.40286033140245536</v>
      </c>
      <c r="W54" s="19">
        <v>0.05</v>
      </c>
      <c r="X54" s="33">
        <v>5.1499999999999997E-2</v>
      </c>
      <c r="Y54" s="19">
        <v>0.22182533447473765</v>
      </c>
      <c r="Z54" s="33">
        <v>0.06</v>
      </c>
      <c r="AA54" s="20">
        <v>1</v>
      </c>
      <c r="AB54" s="31" t="s">
        <v>97</v>
      </c>
      <c r="AC54" s="1">
        <v>8.3190038499999996</v>
      </c>
      <c r="AD54" s="1">
        <v>1.31</v>
      </c>
      <c r="AE54" s="31" t="s">
        <v>97</v>
      </c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</row>
    <row r="55" spans="1:88" ht="31.2">
      <c r="A55" s="26" t="s">
        <v>87</v>
      </c>
      <c r="B55" s="25" t="s">
        <v>159</v>
      </c>
      <c r="C55" s="11">
        <v>120</v>
      </c>
      <c r="D55" s="28" t="s">
        <v>10</v>
      </c>
      <c r="E55" s="11" t="s">
        <v>59</v>
      </c>
      <c r="F55" s="6" t="s">
        <v>91</v>
      </c>
      <c r="H55" s="13" t="s">
        <v>100</v>
      </c>
      <c r="I55" s="12">
        <v>0.3</v>
      </c>
      <c r="J55" s="12">
        <v>4.9999999999999998E-8</v>
      </c>
      <c r="K55" s="12">
        <v>0.06</v>
      </c>
      <c r="L55" s="12">
        <v>7.0000000000000007E-2</v>
      </c>
      <c r="M55" s="12" t="s">
        <v>4</v>
      </c>
      <c r="N55" s="17">
        <v>29</v>
      </c>
      <c r="O55" s="12">
        <v>18.75</v>
      </c>
      <c r="P55" s="12">
        <v>1.69</v>
      </c>
      <c r="Q55" s="19">
        <v>3.22</v>
      </c>
      <c r="R55" s="12">
        <v>0.18</v>
      </c>
      <c r="S55" s="12">
        <v>43.8</v>
      </c>
      <c r="T55" s="31" t="s">
        <v>97</v>
      </c>
      <c r="U55" s="11" t="s">
        <v>34</v>
      </c>
      <c r="V55" s="19">
        <v>0.401928537743729</v>
      </c>
      <c r="W55" s="19">
        <v>0.05</v>
      </c>
      <c r="X55" s="33">
        <v>5.1499999999999997E-2</v>
      </c>
      <c r="Y55" s="19">
        <v>0.18984217702413547</v>
      </c>
      <c r="Z55" s="33">
        <v>0.06</v>
      </c>
      <c r="AA55" s="20">
        <v>1</v>
      </c>
      <c r="AB55" s="31" t="s">
        <v>97</v>
      </c>
      <c r="AC55" s="1">
        <v>20.7</v>
      </c>
      <c r="AD55" s="1">
        <v>0.84099999999999997</v>
      </c>
      <c r="AE55" s="31" t="s">
        <v>97</v>
      </c>
    </row>
    <row r="56" spans="1:88" s="15" customFormat="1" ht="31.2">
      <c r="A56" s="26" t="s">
        <v>88</v>
      </c>
      <c r="B56" s="25" t="s">
        <v>61</v>
      </c>
      <c r="C56" s="11">
        <v>1800</v>
      </c>
      <c r="D56" s="28" t="s">
        <v>10</v>
      </c>
      <c r="E56" s="11" t="s">
        <v>65</v>
      </c>
      <c r="F56" s="6" t="s">
        <v>90</v>
      </c>
      <c r="G56" s="25"/>
      <c r="H56" s="13" t="s">
        <v>100</v>
      </c>
      <c r="I56" s="12">
        <v>10.119999999999999</v>
      </c>
      <c r="J56" s="12">
        <v>0.14000000000000001</v>
      </c>
      <c r="K56" s="12">
        <v>0.03</v>
      </c>
      <c r="L56" s="12">
        <v>3.27</v>
      </c>
      <c r="M56" s="12">
        <v>1.83</v>
      </c>
      <c r="N56" s="17">
        <v>41.7</v>
      </c>
      <c r="O56" s="12">
        <v>6.03</v>
      </c>
      <c r="P56" s="12">
        <v>0.06</v>
      </c>
      <c r="Q56" s="19">
        <v>0.87</v>
      </c>
      <c r="R56" s="12">
        <v>0.05</v>
      </c>
      <c r="S56" s="12">
        <v>33.909999999999997</v>
      </c>
      <c r="T56" s="31" t="s">
        <v>97</v>
      </c>
      <c r="U56" s="11" t="s">
        <v>34</v>
      </c>
      <c r="V56" s="19">
        <v>0.37857389245398027</v>
      </c>
      <c r="W56" s="19">
        <v>0.05</v>
      </c>
      <c r="X56" s="33">
        <v>5.1499999999999997E-2</v>
      </c>
      <c r="Y56" s="19">
        <v>0.16765254606513547</v>
      </c>
      <c r="Z56" s="33">
        <v>0.06</v>
      </c>
      <c r="AA56" s="20">
        <v>1</v>
      </c>
      <c r="AB56" s="31" t="s">
        <v>97</v>
      </c>
      <c r="AC56" s="115">
        <v>13.99</v>
      </c>
      <c r="AD56" s="115">
        <v>-4.55</v>
      </c>
      <c r="AE56" s="31" t="s">
        <v>97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s="15" customFormat="1" ht="31.2">
      <c r="A57" s="26"/>
      <c r="B57" s="25"/>
      <c r="C57" s="108"/>
      <c r="D57" s="28" t="s">
        <v>10</v>
      </c>
      <c r="E57" s="108" t="s">
        <v>65</v>
      </c>
      <c r="F57" s="6"/>
      <c r="G57" s="25"/>
      <c r="H57" s="109"/>
      <c r="I57" s="12"/>
      <c r="J57" s="12"/>
      <c r="K57" s="12"/>
      <c r="L57" s="12"/>
      <c r="M57" s="12"/>
      <c r="N57" s="17"/>
      <c r="O57" s="12"/>
      <c r="P57" s="12"/>
      <c r="Q57" s="19"/>
      <c r="R57" s="12"/>
      <c r="S57" s="12"/>
      <c r="T57" s="31"/>
      <c r="U57" s="108" t="s">
        <v>34</v>
      </c>
      <c r="V57" s="19">
        <v>0.4</v>
      </c>
      <c r="W57" s="19"/>
      <c r="X57" s="19">
        <v>0.05</v>
      </c>
      <c r="Y57" s="19"/>
      <c r="Z57" s="33"/>
      <c r="AA57" s="20">
        <v>1</v>
      </c>
      <c r="AB57" s="31" t="s">
        <v>169</v>
      </c>
      <c r="AC57" s="115"/>
      <c r="AD57" s="115"/>
      <c r="AE57" s="31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s="15" customFormat="1" ht="16.2">
      <c r="A58" s="26"/>
      <c r="B58" s="25"/>
      <c r="C58" s="108"/>
      <c r="D58" s="28"/>
      <c r="E58" s="108" t="s">
        <v>65</v>
      </c>
      <c r="F58" s="6"/>
      <c r="G58" s="25"/>
      <c r="H58" s="109"/>
      <c r="I58" s="12"/>
      <c r="J58" s="12"/>
      <c r="K58" s="12"/>
      <c r="L58" s="12"/>
      <c r="M58" s="12"/>
      <c r="N58" s="17"/>
      <c r="O58" s="12"/>
      <c r="P58" s="12"/>
      <c r="Q58" s="19"/>
      <c r="R58" s="12"/>
      <c r="S58" s="12"/>
      <c r="T58" s="31"/>
      <c r="U58" s="38" t="s">
        <v>107</v>
      </c>
      <c r="V58" s="125">
        <v>0.38928694622699012</v>
      </c>
      <c r="W58" s="122"/>
      <c r="X58" s="36">
        <v>3.6415999231107193E-2</v>
      </c>
      <c r="Y58" s="123"/>
      <c r="Z58" s="122"/>
      <c r="AA58" s="124">
        <v>2</v>
      </c>
      <c r="AB58" s="31" t="s">
        <v>97</v>
      </c>
      <c r="AC58" s="115"/>
      <c r="AD58" s="115"/>
      <c r="AE58" s="31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ht="31.2">
      <c r="A59" s="26" t="s">
        <v>88</v>
      </c>
      <c r="B59" s="25" t="s">
        <v>61</v>
      </c>
      <c r="C59" s="11">
        <v>1800</v>
      </c>
      <c r="D59" s="28" t="s">
        <v>10</v>
      </c>
      <c r="E59" s="11" t="s">
        <v>60</v>
      </c>
      <c r="F59" s="6" t="s">
        <v>90</v>
      </c>
      <c r="H59" s="13" t="s">
        <v>100</v>
      </c>
      <c r="I59" s="13">
        <v>8.16</v>
      </c>
      <c r="J59" s="13">
        <v>7.0000000000000007E-2</v>
      </c>
      <c r="K59" s="13">
        <v>0.04</v>
      </c>
      <c r="L59" s="13">
        <v>1.6</v>
      </c>
      <c r="M59" s="13">
        <v>0.09</v>
      </c>
      <c r="N59" s="14">
        <v>48.4</v>
      </c>
      <c r="O59" s="1">
        <v>2.78</v>
      </c>
      <c r="P59" s="1">
        <v>0.04</v>
      </c>
      <c r="Q59" s="19">
        <v>0.83</v>
      </c>
      <c r="R59" s="13">
        <v>0.2</v>
      </c>
      <c r="S59" s="13">
        <v>36.630000000000003</v>
      </c>
      <c r="T59" s="31" t="s">
        <v>97</v>
      </c>
      <c r="U59" s="11" t="s">
        <v>34</v>
      </c>
      <c r="V59" s="19">
        <v>0.4227465212883183</v>
      </c>
      <c r="W59" s="19">
        <v>0.05</v>
      </c>
      <c r="X59" s="33">
        <v>5.1499999999999997E-2</v>
      </c>
      <c r="Y59" s="19">
        <v>0.20251078272269635</v>
      </c>
      <c r="Z59" s="33">
        <v>0.06</v>
      </c>
      <c r="AA59" s="20">
        <v>1</v>
      </c>
      <c r="AB59" s="31" t="s">
        <v>97</v>
      </c>
      <c r="AC59" s="115">
        <v>17.03</v>
      </c>
      <c r="AD59" s="115">
        <v>-1.0389999999999999</v>
      </c>
      <c r="AE59" s="31" t="s">
        <v>97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</row>
    <row r="60" spans="1:88" ht="31.2">
      <c r="A60" s="26" t="s">
        <v>88</v>
      </c>
      <c r="B60" s="25" t="s">
        <v>61</v>
      </c>
      <c r="C60" s="11">
        <v>1800</v>
      </c>
      <c r="D60" s="28" t="s">
        <v>10</v>
      </c>
      <c r="E60" s="11" t="s">
        <v>62</v>
      </c>
      <c r="F60" s="6" t="s">
        <v>90</v>
      </c>
      <c r="H60" s="13" t="s">
        <v>100</v>
      </c>
      <c r="I60" s="12">
        <v>0.26</v>
      </c>
      <c r="J60" s="12">
        <v>4.9999999999999998E-8</v>
      </c>
      <c r="K60" s="12" t="s">
        <v>4</v>
      </c>
      <c r="L60" s="12">
        <v>0.02</v>
      </c>
      <c r="M60" s="12">
        <v>0.02</v>
      </c>
      <c r="N60" s="17">
        <v>53</v>
      </c>
      <c r="O60" s="12">
        <v>0.81</v>
      </c>
      <c r="P60" s="12">
        <v>0.06</v>
      </c>
      <c r="Q60" s="19">
        <v>0.27</v>
      </c>
      <c r="R60" s="12">
        <v>0.11</v>
      </c>
      <c r="S60" s="12">
        <v>42.85</v>
      </c>
      <c r="T60" s="31" t="s">
        <v>97</v>
      </c>
      <c r="U60" s="11" t="s">
        <v>34</v>
      </c>
      <c r="V60" s="19">
        <v>0.41423118414089166</v>
      </c>
      <c r="W60" s="19">
        <v>0.05</v>
      </c>
      <c r="X60" s="33">
        <v>5.1499999999999997E-2</v>
      </c>
      <c r="Y60" s="19">
        <v>0.20230809442125641</v>
      </c>
      <c r="Z60" s="33">
        <v>0.06</v>
      </c>
      <c r="AA60" s="20">
        <v>1</v>
      </c>
      <c r="AB60" s="31" t="s">
        <v>97</v>
      </c>
      <c r="AC60" s="115">
        <v>16.36</v>
      </c>
      <c r="AD60" s="115">
        <v>-3.35</v>
      </c>
      <c r="AE60" s="31" t="s">
        <v>97</v>
      </c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</row>
    <row r="61" spans="1:88" ht="31.2">
      <c r="A61" s="26" t="s">
        <v>88</v>
      </c>
      <c r="B61" s="25" t="s">
        <v>61</v>
      </c>
      <c r="C61" s="11">
        <v>1800</v>
      </c>
      <c r="D61" s="28" t="s">
        <v>10</v>
      </c>
      <c r="E61" s="11" t="s">
        <v>63</v>
      </c>
      <c r="F61" s="6" t="s">
        <v>90</v>
      </c>
      <c r="H61" s="109" t="s">
        <v>100</v>
      </c>
      <c r="I61" s="12">
        <v>12.14</v>
      </c>
      <c r="J61" s="12">
        <v>4.9999999999999998E-8</v>
      </c>
      <c r="K61" s="12">
        <v>0.01</v>
      </c>
      <c r="L61" s="12">
        <v>1.61</v>
      </c>
      <c r="M61" s="12">
        <v>0.02</v>
      </c>
      <c r="N61" s="17">
        <v>32.799999999999997</v>
      </c>
      <c r="O61" s="12">
        <v>16.45</v>
      </c>
      <c r="P61" s="12">
        <v>0.11</v>
      </c>
      <c r="Q61" s="19">
        <v>1.51</v>
      </c>
      <c r="R61" s="12">
        <v>0.01</v>
      </c>
      <c r="S61" s="12">
        <v>34.72</v>
      </c>
      <c r="T61" s="31" t="s">
        <v>97</v>
      </c>
      <c r="U61" s="108" t="s">
        <v>34</v>
      </c>
      <c r="V61" s="19">
        <v>0.47490354436791826</v>
      </c>
      <c r="W61" s="19">
        <v>0.05</v>
      </c>
      <c r="X61" s="33">
        <v>5.1499999999999997E-2</v>
      </c>
      <c r="Y61" s="19">
        <v>0.23859117402633229</v>
      </c>
      <c r="Z61" s="33">
        <v>0.06</v>
      </c>
      <c r="AA61" s="20">
        <v>1</v>
      </c>
      <c r="AB61" s="31" t="s">
        <v>97</v>
      </c>
      <c r="AC61" s="1">
        <v>14.39</v>
      </c>
      <c r="AD61" s="1">
        <v>0.14199999999999999</v>
      </c>
      <c r="AE61" s="31" t="s">
        <v>97</v>
      </c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</row>
    <row r="62" spans="1:88" ht="31.2">
      <c r="A62" s="26"/>
      <c r="C62" s="108"/>
      <c r="D62" s="28" t="s">
        <v>10</v>
      </c>
      <c r="E62" s="108" t="s">
        <v>63</v>
      </c>
      <c r="F62" s="6"/>
      <c r="H62" s="109"/>
      <c r="I62" s="12"/>
      <c r="J62" s="12"/>
      <c r="K62" s="12"/>
      <c r="L62" s="12"/>
      <c r="M62" s="12"/>
      <c r="N62" s="17"/>
      <c r="O62" s="12"/>
      <c r="P62" s="12"/>
      <c r="R62" s="12"/>
      <c r="S62" s="12"/>
      <c r="T62" s="31"/>
      <c r="U62" s="108" t="s">
        <v>34</v>
      </c>
      <c r="V62" s="19">
        <v>0.59</v>
      </c>
      <c r="W62" s="19"/>
      <c r="X62" s="19">
        <v>0.05</v>
      </c>
      <c r="Y62" s="19"/>
      <c r="Z62" s="33"/>
      <c r="AA62" s="20">
        <v>1</v>
      </c>
      <c r="AB62" s="31" t="s">
        <v>169</v>
      </c>
      <c r="AE62" s="31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</row>
    <row r="63" spans="1:88" ht="16.2">
      <c r="A63" s="26"/>
      <c r="C63" s="108"/>
      <c r="D63" s="28"/>
      <c r="E63" s="108" t="s">
        <v>63</v>
      </c>
      <c r="F63" s="6"/>
      <c r="H63" s="109"/>
      <c r="I63" s="12"/>
      <c r="J63" s="12"/>
      <c r="K63" s="12"/>
      <c r="L63" s="12"/>
      <c r="M63" s="12"/>
      <c r="N63" s="17"/>
      <c r="O63" s="12"/>
      <c r="P63" s="12"/>
      <c r="R63" s="12"/>
      <c r="S63" s="12"/>
      <c r="T63" s="31"/>
      <c r="U63" s="38" t="s">
        <v>107</v>
      </c>
      <c r="V63" s="125">
        <v>0.53245177218395912</v>
      </c>
      <c r="W63" s="122"/>
      <c r="X63" s="36">
        <v>3.6415999231107193E-2</v>
      </c>
      <c r="Y63" s="123"/>
      <c r="Z63" s="122"/>
      <c r="AA63" s="124">
        <v>2</v>
      </c>
      <c r="AB63" s="31" t="s">
        <v>97</v>
      </c>
      <c r="AE63" s="31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</row>
    <row r="64" spans="1:88" ht="61.2" customHeight="1">
      <c r="A64" s="26" t="s">
        <v>88</v>
      </c>
      <c r="B64" s="25" t="s">
        <v>61</v>
      </c>
      <c r="C64" s="11">
        <v>1800</v>
      </c>
      <c r="D64" s="28" t="s">
        <v>35</v>
      </c>
      <c r="E64" s="11" t="s">
        <v>30</v>
      </c>
      <c r="F64" s="6" t="s">
        <v>64</v>
      </c>
      <c r="H64" s="13" t="s">
        <v>100</v>
      </c>
      <c r="I64" s="12">
        <v>41.95</v>
      </c>
      <c r="J64" s="12">
        <v>0.8</v>
      </c>
      <c r="K64" s="12">
        <v>0.31</v>
      </c>
      <c r="L64" s="12">
        <v>10.26</v>
      </c>
      <c r="M64" s="12">
        <v>7.0000000000000007E-2</v>
      </c>
      <c r="N64" s="17">
        <v>24.2</v>
      </c>
      <c r="O64" s="12">
        <v>9.5399999999999991</v>
      </c>
      <c r="P64" s="12">
        <v>0.13</v>
      </c>
      <c r="Q64" s="19">
        <v>9.42</v>
      </c>
      <c r="R64" s="12">
        <v>2.2200000000000002</v>
      </c>
      <c r="S64" s="12">
        <v>0.82</v>
      </c>
      <c r="T64" s="31" t="s">
        <v>97</v>
      </c>
      <c r="U64" s="11" t="s">
        <v>32</v>
      </c>
      <c r="V64" s="19">
        <v>0.34339533782551235</v>
      </c>
      <c r="W64" s="19">
        <v>0.05</v>
      </c>
      <c r="X64" s="33">
        <v>3.6415999231107193E-2</v>
      </c>
      <c r="Y64" s="19">
        <v>0.15240115353526434</v>
      </c>
      <c r="Z64" s="33">
        <v>0.06</v>
      </c>
      <c r="AA64" s="20">
        <v>2</v>
      </c>
      <c r="AB64" s="31" t="s">
        <v>97</v>
      </c>
      <c r="AC64" s="116"/>
      <c r="AD64" s="116"/>
      <c r="AE64" s="23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</row>
    <row r="65" spans="1:88" s="15" customFormat="1" ht="46.8">
      <c r="A65" s="26" t="s">
        <v>88</v>
      </c>
      <c r="B65" s="25" t="s">
        <v>66</v>
      </c>
      <c r="C65" s="11">
        <v>230</v>
      </c>
      <c r="D65" s="27" t="s">
        <v>8</v>
      </c>
      <c r="E65" s="3" t="s">
        <v>26</v>
      </c>
      <c r="F65" s="6" t="s">
        <v>90</v>
      </c>
      <c r="G65" s="27"/>
      <c r="H65" s="12"/>
      <c r="I65" s="13"/>
      <c r="J65" s="13"/>
      <c r="K65" s="13"/>
      <c r="L65" s="13"/>
      <c r="M65" s="13"/>
      <c r="N65" s="13"/>
      <c r="O65" s="13"/>
      <c r="P65" s="13"/>
      <c r="Q65" s="19"/>
      <c r="R65" s="13"/>
      <c r="S65" s="12"/>
      <c r="T65" s="31"/>
      <c r="U65" s="11" t="s">
        <v>34</v>
      </c>
      <c r="V65" s="12">
        <v>0.34383008127937886</v>
      </c>
      <c r="W65" s="19">
        <v>0.05</v>
      </c>
      <c r="X65" s="33">
        <v>0.04</v>
      </c>
      <c r="Y65" s="19">
        <v>0.17500139423694461</v>
      </c>
      <c r="Z65" s="33">
        <v>0.06</v>
      </c>
      <c r="AA65" s="20">
        <v>2</v>
      </c>
      <c r="AB65" s="31" t="s">
        <v>97</v>
      </c>
      <c r="AC65" s="115">
        <v>9.76</v>
      </c>
      <c r="AD65" s="115">
        <v>-6.3</v>
      </c>
      <c r="AE65" s="31" t="s">
        <v>97</v>
      </c>
    </row>
    <row r="66" spans="1:88" s="15" customFormat="1" ht="46.8">
      <c r="A66" s="26" t="s">
        <v>88</v>
      </c>
      <c r="B66" s="25" t="s">
        <v>66</v>
      </c>
      <c r="C66" s="11">
        <v>230</v>
      </c>
      <c r="D66" s="27" t="s">
        <v>8</v>
      </c>
      <c r="E66" s="3" t="s">
        <v>27</v>
      </c>
      <c r="F66" s="6" t="s">
        <v>90</v>
      </c>
      <c r="G66" s="25"/>
      <c r="H66" s="13"/>
      <c r="I66" s="13"/>
      <c r="J66" s="13"/>
      <c r="K66" s="13"/>
      <c r="L66" s="13"/>
      <c r="M66" s="13"/>
      <c r="N66" s="12"/>
      <c r="O66" s="12"/>
      <c r="P66" s="12"/>
      <c r="Q66" s="19"/>
      <c r="R66" s="13"/>
      <c r="S66" s="13"/>
      <c r="T66" s="108"/>
      <c r="U66" s="11" t="s">
        <v>34</v>
      </c>
      <c r="V66" s="12">
        <v>0.37027931947091119</v>
      </c>
      <c r="W66" s="19">
        <v>0.05</v>
      </c>
      <c r="X66" s="33">
        <v>0.04</v>
      </c>
      <c r="Y66" s="19">
        <v>0.20017703132346693</v>
      </c>
      <c r="Z66" s="33">
        <v>0.06</v>
      </c>
      <c r="AA66" s="20">
        <v>2</v>
      </c>
      <c r="AB66" s="31" t="s">
        <v>97</v>
      </c>
      <c r="AC66" s="1">
        <v>9.17</v>
      </c>
      <c r="AD66" s="1">
        <v>-6.52</v>
      </c>
      <c r="AE66" s="31" t="s">
        <v>97</v>
      </c>
    </row>
    <row r="67" spans="1:88" s="15" customFormat="1" ht="46.8">
      <c r="A67" s="26" t="s">
        <v>88</v>
      </c>
      <c r="B67" s="25" t="s">
        <v>67</v>
      </c>
      <c r="C67" s="11">
        <v>230</v>
      </c>
      <c r="D67" s="27" t="s">
        <v>8</v>
      </c>
      <c r="E67" s="3" t="s">
        <v>28</v>
      </c>
      <c r="F67" s="6" t="s">
        <v>90</v>
      </c>
      <c r="G67" s="27"/>
      <c r="H67" s="12"/>
      <c r="I67" s="13"/>
      <c r="J67" s="13"/>
      <c r="K67" s="13"/>
      <c r="L67" s="13"/>
      <c r="M67" s="13"/>
      <c r="N67" s="13"/>
      <c r="O67" s="13"/>
      <c r="P67" s="13"/>
      <c r="Q67" s="19"/>
      <c r="R67" s="13"/>
      <c r="S67" s="12"/>
      <c r="T67" s="31"/>
      <c r="U67" s="11" t="s">
        <v>34</v>
      </c>
      <c r="V67" s="12">
        <v>0.34815793201616241</v>
      </c>
      <c r="W67" s="19">
        <v>0.05</v>
      </c>
      <c r="X67" s="33">
        <v>0.03</v>
      </c>
      <c r="Y67" s="19">
        <v>0.18930194095216629</v>
      </c>
      <c r="Z67" s="33">
        <v>0.06</v>
      </c>
      <c r="AA67" s="20">
        <v>3</v>
      </c>
      <c r="AB67" s="31" t="s">
        <v>97</v>
      </c>
      <c r="AC67" s="115">
        <v>8.1999999999999993</v>
      </c>
      <c r="AD67" s="115">
        <v>-6.88</v>
      </c>
      <c r="AE67" s="31" t="s">
        <v>97</v>
      </c>
    </row>
    <row r="68" spans="1:88" ht="46.8">
      <c r="A68" s="26" t="s">
        <v>88</v>
      </c>
      <c r="B68" s="25" t="s">
        <v>67</v>
      </c>
      <c r="C68" s="11">
        <v>230</v>
      </c>
      <c r="D68" s="27" t="s">
        <v>8</v>
      </c>
      <c r="E68" s="3" t="s">
        <v>29</v>
      </c>
      <c r="F68" s="6" t="s">
        <v>90</v>
      </c>
      <c r="G68" s="27"/>
      <c r="H68" s="12"/>
      <c r="S68" s="12"/>
      <c r="T68" s="31"/>
      <c r="U68" s="11" t="s">
        <v>34</v>
      </c>
      <c r="V68" s="12">
        <v>0.37458341677135476</v>
      </c>
      <c r="W68" s="19">
        <v>0.05</v>
      </c>
      <c r="X68" s="33">
        <v>0.04</v>
      </c>
      <c r="Y68" s="19">
        <v>0.19906926137706968</v>
      </c>
      <c r="Z68" s="33">
        <v>0.06</v>
      </c>
      <c r="AA68" s="20">
        <v>2</v>
      </c>
      <c r="AB68" s="31" t="s">
        <v>97</v>
      </c>
      <c r="AC68" s="115">
        <v>8.92</v>
      </c>
      <c r="AD68" s="115">
        <v>-6.84</v>
      </c>
      <c r="AE68" s="31" t="s">
        <v>97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</row>
    <row r="69" spans="1:88" s="15" customFormat="1" ht="31.2">
      <c r="A69" s="26" t="s">
        <v>88</v>
      </c>
      <c r="B69" s="25" t="s">
        <v>71</v>
      </c>
      <c r="C69" s="11">
        <v>230</v>
      </c>
      <c r="D69" s="27" t="s">
        <v>8</v>
      </c>
      <c r="E69" s="11" t="s">
        <v>73</v>
      </c>
      <c r="F69" s="6" t="s">
        <v>90</v>
      </c>
      <c r="G69" s="25"/>
      <c r="H69" s="13"/>
      <c r="I69" s="29"/>
      <c r="J69" s="13"/>
      <c r="K69" s="13"/>
      <c r="L69" s="13"/>
      <c r="M69" s="13"/>
      <c r="N69" s="14"/>
      <c r="O69" s="1"/>
      <c r="P69" s="1"/>
      <c r="Q69" s="19"/>
      <c r="R69" s="13"/>
      <c r="S69" s="13"/>
      <c r="T69" s="119"/>
      <c r="U69" s="11" t="s">
        <v>102</v>
      </c>
      <c r="V69" s="19">
        <v>0.36688214508650313</v>
      </c>
      <c r="W69" s="19">
        <v>0.05</v>
      </c>
      <c r="X69" s="33">
        <v>5.1499999999999997E-2</v>
      </c>
      <c r="Y69" s="19">
        <v>0.19494837271840665</v>
      </c>
      <c r="Z69" s="33">
        <v>0.06</v>
      </c>
      <c r="AA69" s="20">
        <v>1</v>
      </c>
      <c r="AB69" s="31" t="s">
        <v>97</v>
      </c>
      <c r="AC69" s="115">
        <v>8.4</v>
      </c>
      <c r="AD69" s="115">
        <v>-6.7</v>
      </c>
      <c r="AE69" s="31" t="s">
        <v>97</v>
      </c>
    </row>
    <row r="70" spans="1:88" s="15" customFormat="1" ht="31.2">
      <c r="A70" s="26" t="s">
        <v>88</v>
      </c>
      <c r="B70" s="25" t="s">
        <v>71</v>
      </c>
      <c r="C70" s="11">
        <v>230</v>
      </c>
      <c r="D70" s="28" t="s">
        <v>10</v>
      </c>
      <c r="E70" s="11" t="s">
        <v>72</v>
      </c>
      <c r="F70" s="6" t="s">
        <v>91</v>
      </c>
      <c r="G70" s="25"/>
      <c r="H70" s="13"/>
      <c r="I70" s="13"/>
      <c r="J70" s="13"/>
      <c r="K70" s="13"/>
      <c r="L70" s="13"/>
      <c r="M70" s="13"/>
      <c r="N70" s="14"/>
      <c r="O70" s="1"/>
      <c r="P70" s="1"/>
      <c r="Q70" s="19"/>
      <c r="R70" s="13"/>
      <c r="S70" s="13"/>
      <c r="T70" s="119"/>
      <c r="U70" s="11" t="s">
        <v>103</v>
      </c>
      <c r="V70" s="19">
        <v>0.3737218313842251</v>
      </c>
      <c r="W70" s="19">
        <v>0.05</v>
      </c>
      <c r="X70" s="33">
        <v>5.1499999999999997E-2</v>
      </c>
      <c r="Y70" s="19">
        <v>0.19571006139943298</v>
      </c>
      <c r="Z70" s="33">
        <v>0.06</v>
      </c>
      <c r="AA70" s="20">
        <v>1</v>
      </c>
      <c r="AB70" s="31" t="s">
        <v>97</v>
      </c>
      <c r="AC70" s="115">
        <v>7.7</v>
      </c>
      <c r="AD70" s="115">
        <v>-3.2</v>
      </c>
      <c r="AE70" s="31" t="s">
        <v>97</v>
      </c>
    </row>
    <row r="71" spans="1:88" s="15" customFormat="1" ht="31.2">
      <c r="A71" s="26" t="s">
        <v>88</v>
      </c>
      <c r="B71" s="25" t="s">
        <v>71</v>
      </c>
      <c r="C71" s="11">
        <v>230</v>
      </c>
      <c r="D71" s="28" t="s">
        <v>10</v>
      </c>
      <c r="E71" s="11" t="s">
        <v>70</v>
      </c>
      <c r="F71" s="6" t="s">
        <v>42</v>
      </c>
      <c r="G71" s="25"/>
      <c r="H71" s="13"/>
      <c r="I71" s="13"/>
      <c r="J71" s="13"/>
      <c r="K71" s="13"/>
      <c r="L71" s="13"/>
      <c r="M71" s="13"/>
      <c r="N71" s="14"/>
      <c r="O71" s="1"/>
      <c r="P71" s="1"/>
      <c r="Q71" s="19"/>
      <c r="R71" s="13"/>
      <c r="S71" s="13"/>
      <c r="T71" s="119"/>
      <c r="U71" s="11" t="s">
        <v>100</v>
      </c>
      <c r="V71" s="19">
        <v>0.35044416833418529</v>
      </c>
      <c r="W71" s="19">
        <v>0.05</v>
      </c>
      <c r="X71" s="33">
        <v>5.1499999999999997E-2</v>
      </c>
      <c r="Y71" s="19">
        <v>0.16420014775180344</v>
      </c>
      <c r="Z71" s="33">
        <v>0.06</v>
      </c>
      <c r="AA71" s="20">
        <v>1</v>
      </c>
      <c r="AB71" s="31" t="s">
        <v>97</v>
      </c>
      <c r="AC71" s="115"/>
      <c r="AD71" s="115"/>
      <c r="AE71" s="30"/>
    </row>
    <row r="72" spans="1:88" ht="31.2">
      <c r="A72" s="26" t="s">
        <v>88</v>
      </c>
      <c r="B72" s="25" t="s">
        <v>71</v>
      </c>
      <c r="C72" s="11">
        <v>230</v>
      </c>
      <c r="D72" s="28" t="s">
        <v>10</v>
      </c>
      <c r="E72" s="11" t="s">
        <v>70</v>
      </c>
      <c r="F72" s="6" t="s">
        <v>42</v>
      </c>
      <c r="N72" s="14"/>
      <c r="O72" s="1"/>
      <c r="P72" s="1"/>
      <c r="T72" s="119"/>
      <c r="U72" s="11" t="s">
        <v>103</v>
      </c>
      <c r="V72" s="19">
        <v>0.37154179932829912</v>
      </c>
      <c r="W72" s="19">
        <v>0.05</v>
      </c>
      <c r="X72" s="33">
        <v>5.1499999999999997E-2</v>
      </c>
      <c r="Y72" s="19">
        <v>0.24927209210019036</v>
      </c>
      <c r="Z72" s="33">
        <v>0.06</v>
      </c>
      <c r="AA72" s="20">
        <v>1</v>
      </c>
      <c r="AB72" s="31" t="s">
        <v>97</v>
      </c>
      <c r="AC72" s="115">
        <v>8.1</v>
      </c>
      <c r="AD72" s="115">
        <v>-3.2</v>
      </c>
      <c r="AE72" s="31" t="s">
        <v>97</v>
      </c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</row>
    <row r="73" spans="1:88" s="15" customFormat="1" ht="31.2">
      <c r="A73" s="87" t="s">
        <v>88</v>
      </c>
      <c r="B73" s="88" t="s">
        <v>71</v>
      </c>
      <c r="C73" s="89">
        <v>230</v>
      </c>
      <c r="D73" s="90" t="s">
        <v>10</v>
      </c>
      <c r="E73" s="89" t="s">
        <v>70</v>
      </c>
      <c r="F73" s="91" t="s">
        <v>42</v>
      </c>
      <c r="G73" s="88"/>
      <c r="H73" s="92"/>
      <c r="I73" s="92"/>
      <c r="J73" s="92"/>
      <c r="K73" s="92"/>
      <c r="L73" s="92"/>
      <c r="M73" s="92"/>
      <c r="N73" s="93"/>
      <c r="O73" s="94"/>
      <c r="P73" s="94"/>
      <c r="Q73" s="95"/>
      <c r="R73" s="92"/>
      <c r="S73" s="92"/>
      <c r="T73" s="120"/>
      <c r="U73" s="89" t="s">
        <v>104</v>
      </c>
      <c r="V73" s="95">
        <v>0.38861886922330802</v>
      </c>
      <c r="W73" s="95">
        <v>0.05</v>
      </c>
      <c r="X73" s="96">
        <v>5.1499999999999997E-2</v>
      </c>
      <c r="Y73" s="95">
        <v>0.23172049629194885</v>
      </c>
      <c r="Z73" s="96">
        <v>0.06</v>
      </c>
      <c r="AA73" s="97">
        <v>1</v>
      </c>
      <c r="AB73" s="98" t="s">
        <v>97</v>
      </c>
      <c r="AC73" s="117"/>
      <c r="AD73" s="117"/>
      <c r="AE73" s="99"/>
    </row>
    <row r="74" spans="1:88" ht="18.600000000000001">
      <c r="A74" s="11" t="s">
        <v>155</v>
      </c>
    </row>
    <row r="75" spans="1:88" ht="18.600000000000001">
      <c r="A75" s="40" t="s">
        <v>156</v>
      </c>
    </row>
    <row r="76" spans="1:88" ht="18.600000000000001">
      <c r="A76" s="40" t="s">
        <v>157</v>
      </c>
    </row>
    <row r="77" spans="1:88" ht="18.600000000000001">
      <c r="A77" s="108" t="s">
        <v>194</v>
      </c>
      <c r="C77" s="108"/>
      <c r="E77" s="108"/>
      <c r="F77" s="108"/>
      <c r="H77" s="109"/>
      <c r="I77" s="109"/>
      <c r="J77" s="109"/>
      <c r="K77" s="109"/>
      <c r="L77" s="109"/>
      <c r="M77" s="109"/>
      <c r="N77" s="109"/>
      <c r="O77" s="109"/>
      <c r="P77" s="109"/>
      <c r="R77" s="109"/>
      <c r="S77" s="109"/>
      <c r="U77" s="108"/>
      <c r="AB77" s="108"/>
      <c r="AE77" s="108"/>
    </row>
    <row r="78" spans="1:88" ht="15" customHeight="1">
      <c r="A78" s="21" t="s">
        <v>158</v>
      </c>
    </row>
    <row r="80" spans="1:88">
      <c r="A80" s="142" t="s">
        <v>195</v>
      </c>
      <c r="C80" s="108"/>
      <c r="E80" s="108"/>
      <c r="F80" s="108"/>
      <c r="H80" s="109"/>
      <c r="I80" s="109"/>
      <c r="J80" s="109"/>
      <c r="K80" s="109"/>
      <c r="L80" s="109"/>
      <c r="M80" s="109"/>
      <c r="N80" s="109"/>
      <c r="O80" s="109"/>
      <c r="P80" s="109"/>
      <c r="R80" s="109"/>
      <c r="S80" s="109"/>
      <c r="U80" s="108"/>
      <c r="AB80" s="108"/>
      <c r="AE80" s="108"/>
    </row>
    <row r="81" spans="1:31">
      <c r="A81" s="142" t="s">
        <v>193</v>
      </c>
      <c r="C81" s="108"/>
      <c r="E81" s="108"/>
      <c r="F81" s="108"/>
      <c r="H81" s="109"/>
      <c r="I81" s="109"/>
      <c r="J81" s="109"/>
      <c r="K81" s="109"/>
      <c r="L81" s="109"/>
      <c r="M81" s="109"/>
      <c r="N81" s="109"/>
      <c r="O81" s="109"/>
      <c r="P81" s="109"/>
      <c r="R81" s="109"/>
      <c r="S81" s="109"/>
      <c r="U81" s="108"/>
      <c r="AB81" s="108"/>
      <c r="AE81" s="108"/>
    </row>
    <row r="82" spans="1:31">
      <c r="A82" s="143" t="s">
        <v>192</v>
      </c>
      <c r="C82" s="108"/>
      <c r="E82" s="108"/>
      <c r="F82" s="108"/>
      <c r="H82" s="109"/>
      <c r="I82" s="109"/>
      <c r="J82" s="109"/>
      <c r="K82" s="109"/>
      <c r="L82" s="109"/>
      <c r="M82" s="109"/>
      <c r="N82" s="109"/>
      <c r="O82" s="109"/>
      <c r="P82" s="109"/>
      <c r="R82" s="109"/>
      <c r="S82" s="109"/>
      <c r="U82" s="108"/>
      <c r="AB82" s="108"/>
      <c r="AE82" s="108"/>
    </row>
  </sheetData>
  <phoneticPr fontId="1" type="noConversion"/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4130-524F-D640-A77A-12BA598E6CC9}">
  <dimension ref="A8:CG31"/>
  <sheetViews>
    <sheetView zoomScale="90" zoomScaleNormal="90" workbookViewId="0">
      <selection activeCell="C4" sqref="C4:C5"/>
    </sheetView>
  </sheetViews>
  <sheetFormatPr defaultColWidth="10.796875" defaultRowHeight="15.6"/>
  <cols>
    <col min="1" max="1" width="19.3984375" style="10" customWidth="1"/>
    <col min="2" max="2" width="42.69921875" style="41" customWidth="1"/>
    <col min="3" max="3" width="13.3984375" style="42" customWidth="1"/>
    <col min="4" max="4" width="17.09765625" style="41" customWidth="1"/>
    <col min="5" max="5" width="10.796875" style="42"/>
    <col min="6" max="6" width="8.796875" style="41" customWidth="1"/>
    <col min="7" max="7" width="10.796875" style="42"/>
    <col min="8" max="8" width="10.59765625" style="41" customWidth="1"/>
    <col min="9" max="9" width="10.796875" style="42"/>
    <col min="10" max="10" width="10.296875" style="41" customWidth="1"/>
    <col min="11" max="11" width="10.796875" style="42"/>
    <col min="12" max="12" width="11.296875" style="41" customWidth="1"/>
    <col min="13" max="13" width="10.3984375" style="42" customWidth="1"/>
    <col min="14" max="14" width="11" style="41" customWidth="1"/>
    <col min="15" max="15" width="14.796875" style="42" customWidth="1"/>
    <col min="16" max="16" width="10.69921875" style="41" customWidth="1"/>
    <col min="17" max="17" width="18" style="41" customWidth="1"/>
    <col min="18" max="18" width="10.796875" style="41" customWidth="1"/>
    <col min="19" max="19" width="17.796875" style="41" customWidth="1"/>
    <col min="20" max="20" width="11.3984375" style="41" customWidth="1"/>
    <col min="21" max="21" width="17.296875" style="41" customWidth="1"/>
    <col min="22" max="22" width="11.296875" style="41" customWidth="1"/>
    <col min="23" max="23" width="16.09765625" style="41" customWidth="1"/>
    <col min="24" max="24" width="10.09765625" style="41" customWidth="1"/>
    <col min="25" max="25" width="18.09765625" style="41" customWidth="1"/>
    <col min="26" max="26" width="25.09765625" style="41" customWidth="1"/>
    <col min="27" max="27" width="17.3984375" style="41" customWidth="1"/>
    <col min="28" max="28" width="13.69921875" style="41" customWidth="1"/>
    <col min="29" max="85" width="10.796875" style="10"/>
    <col min="86" max="16384" width="10.796875" style="41"/>
  </cols>
  <sheetData>
    <row r="8" spans="1:85" s="137" customFormat="1">
      <c r="A8" s="136" t="s">
        <v>191</v>
      </c>
      <c r="C8" s="138"/>
      <c r="E8" s="138"/>
      <c r="G8" s="138"/>
      <c r="I8" s="138"/>
      <c r="K8" s="138"/>
      <c r="M8" s="138"/>
      <c r="O8" s="138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</row>
    <row r="9" spans="1:85" s="137" customFormat="1" thickBot="1">
      <c r="A9" s="136"/>
      <c r="C9" s="138"/>
      <c r="E9" s="138"/>
      <c r="G9" s="138"/>
      <c r="I9" s="138"/>
      <c r="K9" s="138"/>
      <c r="M9" s="138"/>
      <c r="O9" s="138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</row>
    <row r="10" spans="1:85" ht="17.399999999999999">
      <c r="A10" s="139" t="s">
        <v>149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  <c r="O10" s="139" t="s">
        <v>151</v>
      </c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/>
    </row>
    <row r="11" spans="1:85" s="51" customFormat="1" ht="16.2">
      <c r="A11" s="56" t="s">
        <v>138</v>
      </c>
      <c r="B11" s="51" t="s">
        <v>144</v>
      </c>
      <c r="C11" s="52" t="s">
        <v>112</v>
      </c>
      <c r="D11" s="51" t="s">
        <v>140</v>
      </c>
      <c r="E11" s="52" t="s">
        <v>113</v>
      </c>
      <c r="F11" s="51" t="s">
        <v>114</v>
      </c>
      <c r="G11" s="52" t="s">
        <v>116</v>
      </c>
      <c r="H11" s="51" t="s">
        <v>117</v>
      </c>
      <c r="I11" s="52" t="s">
        <v>119</v>
      </c>
      <c r="J11" s="51" t="s">
        <v>120</v>
      </c>
      <c r="K11" s="52" t="s">
        <v>122</v>
      </c>
      <c r="L11" s="51" t="s">
        <v>123</v>
      </c>
      <c r="M11" s="52" t="s">
        <v>125</v>
      </c>
      <c r="N11" s="57" t="s">
        <v>126</v>
      </c>
      <c r="O11" s="70" t="s">
        <v>139</v>
      </c>
      <c r="P11" s="51" t="s">
        <v>115</v>
      </c>
      <c r="Q11" s="51" t="s">
        <v>133</v>
      </c>
      <c r="R11" s="51" t="s">
        <v>118</v>
      </c>
      <c r="S11" s="51" t="s">
        <v>134</v>
      </c>
      <c r="T11" s="51" t="s">
        <v>121</v>
      </c>
      <c r="U11" s="51" t="s">
        <v>135</v>
      </c>
      <c r="V11" s="51" t="s">
        <v>124</v>
      </c>
      <c r="W11" s="51" t="s">
        <v>136</v>
      </c>
      <c r="X11" s="51" t="s">
        <v>127</v>
      </c>
      <c r="Y11" s="51" t="s">
        <v>137</v>
      </c>
      <c r="Z11" s="78" t="s">
        <v>150</v>
      </c>
      <c r="AA11" s="51" t="s">
        <v>132</v>
      </c>
      <c r="AB11" s="57" t="s">
        <v>128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</row>
    <row r="12" spans="1:85" s="10" customFormat="1">
      <c r="A12" s="58" t="s">
        <v>185</v>
      </c>
      <c r="B12" s="10" t="s">
        <v>143</v>
      </c>
      <c r="C12" s="2"/>
      <c r="D12" s="10" t="s">
        <v>141</v>
      </c>
      <c r="E12" s="2">
        <v>14</v>
      </c>
      <c r="F12" s="5">
        <f t="shared" ref="F12:F14" si="0">21.5*40/56</f>
        <v>15.357142857142858</v>
      </c>
      <c r="G12" s="2">
        <v>33</v>
      </c>
      <c r="H12" s="5">
        <f t="shared" ref="H12:H14" si="1">1.4*40/56</f>
        <v>1</v>
      </c>
      <c r="I12" s="2"/>
      <c r="K12" s="2">
        <v>51</v>
      </c>
      <c r="L12" s="5">
        <f t="shared" ref="L12:L14" si="2">0.15*40/56</f>
        <v>0.10714285714285714</v>
      </c>
      <c r="M12" s="9"/>
      <c r="N12" s="59"/>
      <c r="O12" s="71">
        <v>1000</v>
      </c>
      <c r="P12" s="5">
        <f t="shared" ref="P12:P23" si="3">E12*F12/(E12*F12+K12*L12+G12*H12+I12*J12)</f>
        <v>0.84824573763562061</v>
      </c>
      <c r="Q12" s="5">
        <f t="shared" ref="Q12:Q26" si="4">0.09/(($O12+273.15)/1000)^2/2.05</f>
        <v>2.7085041142592612E-2</v>
      </c>
      <c r="R12" s="5">
        <f t="shared" ref="R12:R23" si="5">G12*H12/(E12*F12+K12*L12+G12*H12+I12*J12)</f>
        <v>0.13019585740453712</v>
      </c>
      <c r="S12" s="9">
        <f t="shared" ref="S12:S26" si="6">(2.104-1.458)*10^6/($O12+273.15)^2/2.05+$Q12</f>
        <v>0.22149544756609069</v>
      </c>
      <c r="U12" s="9"/>
      <c r="V12" s="5">
        <f t="shared" ref="V12:V23" si="7">K12*L12/(E12*F12+K12*L12+G12*H12+I12*J12)</f>
        <v>2.1558404959842188E-2</v>
      </c>
      <c r="W12" s="9">
        <f t="shared" ref="W12:W26" si="8">(2.355-1.458)*10^6/($O12+273.15)^2/2.05+$Q12</f>
        <v>0.29703261786376561</v>
      </c>
      <c r="X12" s="9"/>
      <c r="Y12" s="9"/>
      <c r="Z12" s="100">
        <f t="shared" ref="Z12:Z26" si="9">P12*Q12+R12*S12+T12*U12+V12*W12</f>
        <v>5.8216109872147592E-2</v>
      </c>
      <c r="AA12" s="5">
        <v>0.43</v>
      </c>
      <c r="AB12" s="59">
        <f t="shared" ref="AB12" si="10">AA12-Z12</f>
        <v>0.3717838901278524</v>
      </c>
    </row>
    <row r="13" spans="1:85" s="10" customFormat="1">
      <c r="A13" s="58" t="s">
        <v>185</v>
      </c>
      <c r="B13" s="10" t="s">
        <v>143</v>
      </c>
      <c r="C13" s="2"/>
      <c r="D13" s="10" t="s">
        <v>141</v>
      </c>
      <c r="E13" s="2">
        <v>14</v>
      </c>
      <c r="F13" s="5">
        <f t="shared" si="0"/>
        <v>15.357142857142858</v>
      </c>
      <c r="G13" s="2">
        <v>33</v>
      </c>
      <c r="H13" s="5">
        <f t="shared" si="1"/>
        <v>1</v>
      </c>
      <c r="I13" s="2"/>
      <c r="K13" s="2">
        <v>51</v>
      </c>
      <c r="L13" s="5">
        <f t="shared" si="2"/>
        <v>0.10714285714285714</v>
      </c>
      <c r="M13" s="9"/>
      <c r="N13" s="59"/>
      <c r="O13" s="71">
        <v>1350</v>
      </c>
      <c r="P13" s="5">
        <f t="shared" si="3"/>
        <v>0.84824573763562061</v>
      </c>
      <c r="Q13" s="5">
        <f t="shared" si="4"/>
        <v>1.6663696081640242E-2</v>
      </c>
      <c r="R13" s="5">
        <f t="shared" si="5"/>
        <v>0.13019585740453712</v>
      </c>
      <c r="S13" s="9">
        <f t="shared" si="6"/>
        <v>0.13627200351208024</v>
      </c>
      <c r="U13" s="9"/>
      <c r="V13" s="5">
        <f t="shared" si="7"/>
        <v>2.1558404959842188E-2</v>
      </c>
      <c r="W13" s="9">
        <f t="shared" si="8"/>
        <v>0.18274520036198799</v>
      </c>
      <c r="X13" s="9"/>
      <c r="Y13" s="9"/>
      <c r="Z13" s="100">
        <f t="shared" si="9"/>
        <v>3.5816654545867348E-2</v>
      </c>
      <c r="AA13" s="5">
        <v>0.43</v>
      </c>
      <c r="AB13" s="59">
        <f t="shared" ref="AB13" si="11">AA13-Z13</f>
        <v>0.39418334545413264</v>
      </c>
    </row>
    <row r="14" spans="1:85" s="47" customFormat="1">
      <c r="A14" s="58" t="s">
        <v>185</v>
      </c>
      <c r="B14" s="47" t="s">
        <v>143</v>
      </c>
      <c r="C14" s="7"/>
      <c r="D14" s="47" t="s">
        <v>141</v>
      </c>
      <c r="E14" s="7">
        <v>14</v>
      </c>
      <c r="F14" s="8">
        <f t="shared" si="0"/>
        <v>15.357142857142858</v>
      </c>
      <c r="G14" s="7">
        <v>33</v>
      </c>
      <c r="H14" s="8">
        <f t="shared" si="1"/>
        <v>1</v>
      </c>
      <c r="I14" s="7"/>
      <c r="K14" s="7">
        <v>51</v>
      </c>
      <c r="L14" s="8">
        <f t="shared" si="2"/>
        <v>0.10714285714285714</v>
      </c>
      <c r="M14" s="48"/>
      <c r="N14" s="60"/>
      <c r="O14" s="72">
        <v>1450</v>
      </c>
      <c r="P14" s="8">
        <f t="shared" si="3"/>
        <v>0.84824573763562061</v>
      </c>
      <c r="Q14" s="8">
        <f t="shared" si="4"/>
        <v>1.4785720068422603E-2</v>
      </c>
      <c r="R14" s="8">
        <f t="shared" si="5"/>
        <v>0.13019585740453712</v>
      </c>
      <c r="S14" s="48">
        <f t="shared" si="6"/>
        <v>0.12091433300398932</v>
      </c>
      <c r="U14" s="48"/>
      <c r="V14" s="8">
        <f t="shared" si="7"/>
        <v>2.1558404959842188E-2</v>
      </c>
      <c r="W14" s="48">
        <f t="shared" si="8"/>
        <v>0.16215006341703456</v>
      </c>
      <c r="X14" s="48"/>
      <c r="Y14" s="48"/>
      <c r="Z14" s="101">
        <f t="shared" si="9"/>
        <v>3.1780166015273566E-2</v>
      </c>
      <c r="AA14" s="8">
        <v>0.43</v>
      </c>
      <c r="AB14" s="60">
        <f t="shared" ref="AB14:AB26" si="12">AA14-Z14</f>
        <v>0.39821983398472643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:85">
      <c r="A15" s="43" t="s">
        <v>186</v>
      </c>
      <c r="B15" s="10" t="s">
        <v>145</v>
      </c>
      <c r="C15" s="2"/>
      <c r="D15" s="10" t="s">
        <v>142</v>
      </c>
      <c r="E15" s="2">
        <v>22.6</v>
      </c>
      <c r="F15" s="5">
        <f t="shared" ref="F15:F17" si="13">12.64*40/56</f>
        <v>9.0285714285714285</v>
      </c>
      <c r="G15" s="2">
        <v>7.7</v>
      </c>
      <c r="H15" s="5">
        <f t="shared" ref="H15:H17" si="14">2.31*40/56</f>
        <v>1.6500000000000001</v>
      </c>
      <c r="I15" s="2">
        <v>8.9</v>
      </c>
      <c r="J15" s="5">
        <f t="shared" ref="J15:J17" si="15">5.8*40/56</f>
        <v>4.1428571428571432</v>
      </c>
      <c r="K15" s="2">
        <v>60.8</v>
      </c>
      <c r="L15" s="5">
        <f t="shared" ref="L15:L17" si="16">0.27*40/56</f>
        <v>0.19285714285714287</v>
      </c>
      <c r="M15" s="9"/>
      <c r="N15" s="59"/>
      <c r="O15" s="71">
        <v>1000</v>
      </c>
      <c r="P15" s="5">
        <f t="shared" si="3"/>
        <v>0.76897441902408425</v>
      </c>
      <c r="Q15" s="5">
        <f t="shared" si="4"/>
        <v>2.7085041142592612E-2</v>
      </c>
      <c r="R15" s="5">
        <f t="shared" si="5"/>
        <v>4.7880544945045192E-2</v>
      </c>
      <c r="S15" s="9">
        <f t="shared" si="6"/>
        <v>0.22149544756609069</v>
      </c>
      <c r="T15" s="5">
        <f t="shared" ref="T15:T23" si="17">I15*J15/(E15*F15+K15*L15+G15*H15+I15*J15)</f>
        <v>0.13895506437641156</v>
      </c>
      <c r="U15" s="111">
        <f t="shared" ref="U15:U26" si="18">0.56*10^6/(O15+273.15)^2</f>
        <v>0.3454847470188479</v>
      </c>
      <c r="V15" s="5">
        <f t="shared" si="7"/>
        <v>4.4189971654458975E-2</v>
      </c>
      <c r="W15" s="9">
        <f t="shared" si="8"/>
        <v>0.29703261786376561</v>
      </c>
      <c r="X15" s="9"/>
      <c r="Y15" s="9"/>
      <c r="Z15" s="100">
        <f t="shared" si="9"/>
        <v>9.2565744736101491E-2</v>
      </c>
      <c r="AA15" s="5">
        <v>0.43</v>
      </c>
      <c r="AB15" s="59">
        <f t="shared" si="12"/>
        <v>0.33743425526389847</v>
      </c>
    </row>
    <row r="16" spans="1:85">
      <c r="A16" s="10" t="s">
        <v>186</v>
      </c>
      <c r="B16" s="10" t="s">
        <v>145</v>
      </c>
      <c r="C16" s="2"/>
      <c r="D16" s="10" t="s">
        <v>142</v>
      </c>
      <c r="E16" s="2">
        <v>22.6</v>
      </c>
      <c r="F16" s="5">
        <f t="shared" si="13"/>
        <v>9.0285714285714285</v>
      </c>
      <c r="G16" s="2">
        <v>7.7</v>
      </c>
      <c r="H16" s="5">
        <f t="shared" si="14"/>
        <v>1.6500000000000001</v>
      </c>
      <c r="I16" s="2">
        <v>8.9</v>
      </c>
      <c r="J16" s="5">
        <f t="shared" si="15"/>
        <v>4.1428571428571432</v>
      </c>
      <c r="K16" s="2">
        <v>60.8</v>
      </c>
      <c r="L16" s="5">
        <f t="shared" si="16"/>
        <v>0.19285714285714287</v>
      </c>
      <c r="M16" s="9"/>
      <c r="N16" s="59"/>
      <c r="O16" s="71">
        <v>1350</v>
      </c>
      <c r="P16" s="5">
        <f t="shared" si="3"/>
        <v>0.76897441902408425</v>
      </c>
      <c r="Q16" s="5">
        <f t="shared" si="4"/>
        <v>1.6663696081640242E-2</v>
      </c>
      <c r="R16" s="5">
        <f t="shared" si="5"/>
        <v>4.7880544945045192E-2</v>
      </c>
      <c r="S16" s="9">
        <f t="shared" si="6"/>
        <v>0.13627200351208024</v>
      </c>
      <c r="T16" s="5">
        <f t="shared" si="17"/>
        <v>0.13895506437641156</v>
      </c>
      <c r="U16" s="111">
        <f t="shared" si="18"/>
        <v>0.21255470113025551</v>
      </c>
      <c r="V16" s="5">
        <f t="shared" si="7"/>
        <v>4.4189971654458975E-2</v>
      </c>
      <c r="W16" s="9">
        <f t="shared" si="8"/>
        <v>0.18274520036198799</v>
      </c>
      <c r="X16" s="9"/>
      <c r="Y16" s="9"/>
      <c r="Z16" s="100">
        <f t="shared" si="9"/>
        <v>5.694979120513298E-2</v>
      </c>
      <c r="AA16" s="5">
        <v>0.43</v>
      </c>
      <c r="AB16" s="59">
        <f t="shared" ref="AB16" si="19">AA16-Z16</f>
        <v>0.373050208794867</v>
      </c>
    </row>
    <row r="17" spans="1:85">
      <c r="A17" s="47" t="s">
        <v>186</v>
      </c>
      <c r="B17" s="10" t="s">
        <v>145</v>
      </c>
      <c r="C17" s="2"/>
      <c r="D17" s="10" t="s">
        <v>142</v>
      </c>
      <c r="E17" s="2">
        <v>22.6</v>
      </c>
      <c r="F17" s="5">
        <f t="shared" si="13"/>
        <v>9.0285714285714285</v>
      </c>
      <c r="G17" s="2">
        <v>7.7</v>
      </c>
      <c r="H17" s="5">
        <f t="shared" si="14"/>
        <v>1.6500000000000001</v>
      </c>
      <c r="I17" s="2">
        <v>8.9</v>
      </c>
      <c r="J17" s="5">
        <f t="shared" si="15"/>
        <v>4.1428571428571432</v>
      </c>
      <c r="K17" s="2">
        <v>60.8</v>
      </c>
      <c r="L17" s="5">
        <f t="shared" si="16"/>
        <v>0.19285714285714287</v>
      </c>
      <c r="M17" s="9"/>
      <c r="N17" s="59"/>
      <c r="O17" s="71">
        <v>1450</v>
      </c>
      <c r="P17" s="5">
        <f t="shared" si="3"/>
        <v>0.76897441902408425</v>
      </c>
      <c r="Q17" s="5">
        <f t="shared" si="4"/>
        <v>1.4785720068422603E-2</v>
      </c>
      <c r="R17" s="5">
        <f t="shared" si="5"/>
        <v>4.7880544945045192E-2</v>
      </c>
      <c r="S17" s="9">
        <f t="shared" si="6"/>
        <v>0.12091433300398932</v>
      </c>
      <c r="T17" s="5">
        <f t="shared" si="17"/>
        <v>0.13895506437641156</v>
      </c>
      <c r="U17" s="112">
        <f t="shared" si="18"/>
        <v>0.18860007376165722</v>
      </c>
      <c r="V17" s="5">
        <f t="shared" si="7"/>
        <v>4.4189971654458975E-2</v>
      </c>
      <c r="W17" s="9">
        <f t="shared" si="8"/>
        <v>0.16215006341703456</v>
      </c>
      <c r="X17" s="9"/>
      <c r="Y17" s="9"/>
      <c r="Z17" s="100">
        <f t="shared" si="9"/>
        <v>5.0531626752480213E-2</v>
      </c>
      <c r="AA17" s="5">
        <v>0.43</v>
      </c>
      <c r="AB17" s="59">
        <f t="shared" si="12"/>
        <v>0.37946837324751981</v>
      </c>
    </row>
    <row r="18" spans="1:85" s="43" customFormat="1">
      <c r="A18" s="43" t="s">
        <v>187</v>
      </c>
      <c r="B18" s="43" t="s">
        <v>146</v>
      </c>
      <c r="C18" s="53" t="s">
        <v>131</v>
      </c>
      <c r="D18" s="43" t="s">
        <v>148</v>
      </c>
      <c r="E18" s="53">
        <v>13.1</v>
      </c>
      <c r="F18" s="45">
        <f>16.25*40/56</f>
        <v>11.607142857142858</v>
      </c>
      <c r="G18" s="53">
        <v>10.1</v>
      </c>
      <c r="H18" s="45">
        <f>1.69*40/56</f>
        <v>1.2071428571428571</v>
      </c>
      <c r="I18" s="53">
        <v>9</v>
      </c>
      <c r="J18" s="45">
        <f>5.4*40/56</f>
        <v>3.8571428571428572</v>
      </c>
      <c r="K18" s="53">
        <v>62</v>
      </c>
      <c r="L18" s="45">
        <f>0.16*40/56</f>
        <v>0.1142857142857143</v>
      </c>
      <c r="M18" s="44"/>
      <c r="N18" s="61"/>
      <c r="O18" s="73">
        <v>1000</v>
      </c>
      <c r="P18" s="45">
        <f t="shared" si="3"/>
        <v>0.73796036940484766</v>
      </c>
      <c r="Q18" s="45">
        <f t="shared" si="4"/>
        <v>2.7085041142592612E-2</v>
      </c>
      <c r="R18" s="45">
        <f t="shared" si="5"/>
        <v>5.9172028398690985E-2</v>
      </c>
      <c r="S18" s="46">
        <f t="shared" si="6"/>
        <v>0.22149544756609069</v>
      </c>
      <c r="T18" s="45">
        <f t="shared" si="17"/>
        <v>0.1684785623162682</v>
      </c>
      <c r="U18" s="111">
        <f t="shared" si="18"/>
        <v>0.3454847470188479</v>
      </c>
      <c r="V18" s="45">
        <f t="shared" si="7"/>
        <v>3.4389039880193019E-2</v>
      </c>
      <c r="W18" s="46">
        <f t="shared" si="8"/>
        <v>0.29703261786376561</v>
      </c>
      <c r="Z18" s="102">
        <f t="shared" si="9"/>
        <v>0.10151546190186493</v>
      </c>
      <c r="AA18" s="45">
        <v>0.43</v>
      </c>
      <c r="AB18" s="76">
        <f t="shared" ref="AB18:AB20" si="20">AA18-Z18</f>
        <v>0.32848453809813505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</row>
    <row r="19" spans="1:85" s="10" customFormat="1">
      <c r="A19" s="10" t="s">
        <v>187</v>
      </c>
      <c r="B19" s="10" t="s">
        <v>146</v>
      </c>
      <c r="C19" s="54" t="s">
        <v>131</v>
      </c>
      <c r="D19" s="10" t="s">
        <v>148</v>
      </c>
      <c r="E19" s="54">
        <v>13.1</v>
      </c>
      <c r="F19" s="5">
        <f>16.25*40/56</f>
        <v>11.607142857142858</v>
      </c>
      <c r="G19" s="54">
        <v>10.1</v>
      </c>
      <c r="H19" s="5">
        <f>1.69*40/56</f>
        <v>1.2071428571428571</v>
      </c>
      <c r="I19" s="54">
        <v>9</v>
      </c>
      <c r="J19" s="5">
        <f>5.4*40/56</f>
        <v>3.8571428571428572</v>
      </c>
      <c r="K19" s="54">
        <v>62</v>
      </c>
      <c r="L19" s="5">
        <f>0.16*40/56</f>
        <v>0.1142857142857143</v>
      </c>
      <c r="M19" s="2"/>
      <c r="N19" s="62"/>
      <c r="O19" s="71">
        <v>1350</v>
      </c>
      <c r="P19" s="5">
        <f t="shared" si="3"/>
        <v>0.73796036940484766</v>
      </c>
      <c r="Q19" s="5">
        <f t="shared" si="4"/>
        <v>1.6663696081640242E-2</v>
      </c>
      <c r="R19" s="5">
        <f t="shared" si="5"/>
        <v>5.9172028398690985E-2</v>
      </c>
      <c r="S19" s="9">
        <f t="shared" si="6"/>
        <v>0.13627200351208024</v>
      </c>
      <c r="T19" s="5">
        <f t="shared" si="17"/>
        <v>0.1684785623162682</v>
      </c>
      <c r="U19" s="111">
        <f t="shared" si="18"/>
        <v>0.21255470113025551</v>
      </c>
      <c r="V19" s="5">
        <f t="shared" si="7"/>
        <v>3.4389039880193019E-2</v>
      </c>
      <c r="W19" s="9">
        <f t="shared" si="8"/>
        <v>0.18274520036198799</v>
      </c>
      <c r="Z19" s="100">
        <f t="shared" si="9"/>
        <v>6.2455980620972462E-2</v>
      </c>
      <c r="AA19" s="5">
        <v>0.43</v>
      </c>
      <c r="AB19" s="59">
        <f t="shared" si="20"/>
        <v>0.36754401937902753</v>
      </c>
    </row>
    <row r="20" spans="1:85" s="47" customFormat="1">
      <c r="A20" s="47" t="s">
        <v>187</v>
      </c>
      <c r="B20" s="10" t="s">
        <v>146</v>
      </c>
      <c r="C20" s="55" t="s">
        <v>131</v>
      </c>
      <c r="D20" s="47" t="s">
        <v>148</v>
      </c>
      <c r="E20" s="55">
        <v>13.1</v>
      </c>
      <c r="F20" s="8">
        <f>16.25*40/56</f>
        <v>11.607142857142858</v>
      </c>
      <c r="G20" s="55">
        <v>10.1</v>
      </c>
      <c r="H20" s="8">
        <f>1.69*40/56</f>
        <v>1.2071428571428571</v>
      </c>
      <c r="I20" s="55">
        <v>9</v>
      </c>
      <c r="J20" s="8">
        <f>5.4*40/56</f>
        <v>3.8571428571428572</v>
      </c>
      <c r="K20" s="55">
        <v>62</v>
      </c>
      <c r="L20" s="8">
        <f>0.16*40/56</f>
        <v>0.1142857142857143</v>
      </c>
      <c r="M20" s="7"/>
      <c r="N20" s="63"/>
      <c r="O20" s="72">
        <v>1450</v>
      </c>
      <c r="P20" s="8">
        <f t="shared" si="3"/>
        <v>0.73796036940484766</v>
      </c>
      <c r="Q20" s="8">
        <f t="shared" si="4"/>
        <v>1.4785720068422603E-2</v>
      </c>
      <c r="R20" s="8">
        <f t="shared" si="5"/>
        <v>5.9172028398690985E-2</v>
      </c>
      <c r="S20" s="48">
        <f t="shared" si="6"/>
        <v>0.12091433300398932</v>
      </c>
      <c r="T20" s="8">
        <f t="shared" si="17"/>
        <v>0.1684785623162682</v>
      </c>
      <c r="U20" s="112">
        <f t="shared" si="18"/>
        <v>0.18860007376165722</v>
      </c>
      <c r="V20" s="8">
        <f t="shared" si="7"/>
        <v>3.4389039880193019E-2</v>
      </c>
      <c r="W20" s="48">
        <f t="shared" si="8"/>
        <v>0.16215006341703456</v>
      </c>
      <c r="Z20" s="101">
        <f t="shared" si="9"/>
        <v>5.5417276067461024E-2</v>
      </c>
      <c r="AA20" s="8">
        <v>0.43</v>
      </c>
      <c r="AB20" s="60">
        <f t="shared" si="20"/>
        <v>0.374582723932539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</row>
    <row r="21" spans="1:85" s="43" customFormat="1">
      <c r="A21" s="43" t="s">
        <v>187</v>
      </c>
      <c r="B21" s="43" t="s">
        <v>147</v>
      </c>
      <c r="C21" s="53" t="s">
        <v>130</v>
      </c>
      <c r="D21" s="43" t="s">
        <v>148</v>
      </c>
      <c r="E21" s="53">
        <v>4.2</v>
      </c>
      <c r="F21" s="45">
        <f>17.27*40/56</f>
        <v>12.335714285714285</v>
      </c>
      <c r="G21" s="53">
        <v>18.8</v>
      </c>
      <c r="H21" s="45">
        <f>1.77*40/56</f>
        <v>1.2642857142857142</v>
      </c>
      <c r="I21" s="53">
        <v>8</v>
      </c>
      <c r="J21" s="45">
        <f>5.34*40/56</f>
        <v>3.8142857142857141</v>
      </c>
      <c r="K21" s="53">
        <v>58</v>
      </c>
      <c r="L21" s="45">
        <f t="shared" ref="L21:L26" si="21">0.13*40/56</f>
        <v>9.285714285714286E-2</v>
      </c>
      <c r="M21" s="44"/>
      <c r="N21" s="61"/>
      <c r="O21" s="73">
        <v>1000</v>
      </c>
      <c r="P21" s="45">
        <f t="shared" si="3"/>
        <v>0.46475299545075932</v>
      </c>
      <c r="Q21" s="45">
        <f t="shared" si="4"/>
        <v>2.7085041142592612E-2</v>
      </c>
      <c r="R21" s="45">
        <f t="shared" si="5"/>
        <v>0.21321202024732491</v>
      </c>
      <c r="S21" s="46">
        <f t="shared" si="6"/>
        <v>0.22149544756609069</v>
      </c>
      <c r="T21" s="45">
        <f t="shared" si="17"/>
        <v>0.27372332927532517</v>
      </c>
      <c r="U21" s="111">
        <f t="shared" si="18"/>
        <v>0.3454847470188479</v>
      </c>
      <c r="V21" s="45">
        <f t="shared" si="7"/>
        <v>4.8311655026590634E-2</v>
      </c>
      <c r="W21" s="46">
        <f t="shared" si="8"/>
        <v>0.29703261786376561</v>
      </c>
      <c r="Z21" s="102">
        <f t="shared" si="9"/>
        <v>0.16873071838780049</v>
      </c>
      <c r="AA21" s="45">
        <v>0.43</v>
      </c>
      <c r="AB21" s="76">
        <f>AA21-Z21</f>
        <v>0.26126928161219953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</row>
    <row r="22" spans="1:85" s="10" customFormat="1">
      <c r="A22" s="10" t="s">
        <v>187</v>
      </c>
      <c r="B22" s="10" t="s">
        <v>147</v>
      </c>
      <c r="C22" s="54" t="s">
        <v>130</v>
      </c>
      <c r="D22" s="10" t="s">
        <v>148</v>
      </c>
      <c r="E22" s="54">
        <v>4.2</v>
      </c>
      <c r="F22" s="5">
        <f>17.27*40/56</f>
        <v>12.335714285714285</v>
      </c>
      <c r="G22" s="54">
        <v>18.8</v>
      </c>
      <c r="H22" s="5">
        <f>1.77*40/56</f>
        <v>1.2642857142857142</v>
      </c>
      <c r="I22" s="54">
        <v>8</v>
      </c>
      <c r="J22" s="5">
        <f>5.34*40/56</f>
        <v>3.8142857142857141</v>
      </c>
      <c r="K22" s="54">
        <v>58</v>
      </c>
      <c r="L22" s="5">
        <f t="shared" si="21"/>
        <v>9.285714285714286E-2</v>
      </c>
      <c r="M22" s="2"/>
      <c r="N22" s="62"/>
      <c r="O22" s="71">
        <v>1350</v>
      </c>
      <c r="P22" s="5">
        <f t="shared" si="3"/>
        <v>0.46475299545075932</v>
      </c>
      <c r="Q22" s="5">
        <f t="shared" si="4"/>
        <v>1.6663696081640242E-2</v>
      </c>
      <c r="R22" s="5">
        <f t="shared" si="5"/>
        <v>0.21321202024732491</v>
      </c>
      <c r="S22" s="9">
        <f t="shared" si="6"/>
        <v>0.13627200351208024</v>
      </c>
      <c r="T22" s="5">
        <f t="shared" si="17"/>
        <v>0.27372332927532517</v>
      </c>
      <c r="U22" s="111">
        <f t="shared" si="18"/>
        <v>0.21255470113025551</v>
      </c>
      <c r="V22" s="5">
        <f t="shared" si="7"/>
        <v>4.8311655026590634E-2</v>
      </c>
      <c r="W22" s="9">
        <f t="shared" si="8"/>
        <v>0.18274520036198799</v>
      </c>
      <c r="Z22" s="100">
        <f t="shared" si="9"/>
        <v>0.10380923536533339</v>
      </c>
      <c r="AA22" s="5">
        <v>0.43</v>
      </c>
      <c r="AB22" s="59">
        <f>AA22-Z22</f>
        <v>0.32619076463466662</v>
      </c>
    </row>
    <row r="23" spans="1:85" s="10" customFormat="1">
      <c r="A23" s="47" t="s">
        <v>187</v>
      </c>
      <c r="B23" s="10" t="s">
        <v>147</v>
      </c>
      <c r="C23" s="54" t="s">
        <v>130</v>
      </c>
      <c r="D23" s="47" t="s">
        <v>148</v>
      </c>
      <c r="E23" s="54">
        <v>4.2</v>
      </c>
      <c r="F23" s="5">
        <f>17.27*40/56</f>
        <v>12.335714285714285</v>
      </c>
      <c r="G23" s="54">
        <v>18.8</v>
      </c>
      <c r="H23" s="5">
        <f>1.77*40/56</f>
        <v>1.2642857142857142</v>
      </c>
      <c r="I23" s="54">
        <v>8</v>
      </c>
      <c r="J23" s="5">
        <f>5.34*40/56</f>
        <v>3.8142857142857141</v>
      </c>
      <c r="K23" s="54">
        <v>58</v>
      </c>
      <c r="L23" s="5">
        <f t="shared" si="21"/>
        <v>9.285714285714286E-2</v>
      </c>
      <c r="M23" s="2"/>
      <c r="N23" s="62"/>
      <c r="O23" s="71">
        <v>1450</v>
      </c>
      <c r="P23" s="5">
        <f t="shared" si="3"/>
        <v>0.46475299545075932</v>
      </c>
      <c r="Q23" s="5">
        <f t="shared" si="4"/>
        <v>1.4785720068422603E-2</v>
      </c>
      <c r="R23" s="5">
        <f t="shared" si="5"/>
        <v>0.21321202024732491</v>
      </c>
      <c r="S23" s="9">
        <f t="shared" si="6"/>
        <v>0.12091433300398932</v>
      </c>
      <c r="T23" s="5">
        <f t="shared" si="17"/>
        <v>0.27372332927532517</v>
      </c>
      <c r="U23" s="112">
        <f t="shared" si="18"/>
        <v>0.18860007376165722</v>
      </c>
      <c r="V23" s="5">
        <f t="shared" si="7"/>
        <v>4.8311655026590634E-2</v>
      </c>
      <c r="W23" s="9">
        <f t="shared" si="8"/>
        <v>0.16215006341703456</v>
      </c>
      <c r="Z23" s="100">
        <f t="shared" si="9"/>
        <v>9.2110074926290447E-2</v>
      </c>
      <c r="AA23" s="5">
        <v>0.43</v>
      </c>
      <c r="AB23" s="59">
        <f>AA23-Z23</f>
        <v>0.33788992507370952</v>
      </c>
    </row>
    <row r="24" spans="1:85" s="43" customFormat="1">
      <c r="A24" s="10" t="s">
        <v>187</v>
      </c>
      <c r="B24" s="43" t="s">
        <v>147</v>
      </c>
      <c r="C24" s="53" t="s">
        <v>129</v>
      </c>
      <c r="D24" s="43" t="s">
        <v>148</v>
      </c>
      <c r="E24" s="53">
        <v>6.1</v>
      </c>
      <c r="F24" s="45">
        <f>17.3*40/56</f>
        <v>12.357142857142858</v>
      </c>
      <c r="G24" s="53">
        <v>17.100000000000001</v>
      </c>
      <c r="H24" s="45">
        <f>1.6*40/56</f>
        <v>1.1428571428571428</v>
      </c>
      <c r="I24" s="53">
        <v>11.8</v>
      </c>
      <c r="J24" s="45">
        <f>5.3*40/56</f>
        <v>3.7857142857142856</v>
      </c>
      <c r="K24" s="53">
        <v>59</v>
      </c>
      <c r="L24" s="45">
        <f t="shared" si="21"/>
        <v>9.285714285714286E-2</v>
      </c>
      <c r="M24" s="53">
        <v>6</v>
      </c>
      <c r="N24" s="64">
        <f t="shared" ref="N24:N26" si="22">25*40/56</f>
        <v>17.857142857142858</v>
      </c>
      <c r="O24" s="73">
        <v>1000</v>
      </c>
      <c r="P24" s="45">
        <f>E24*F24/(E24*F24+K24*L24+G24*H24+I24*J24+M24*N24)</f>
        <v>0.2988671764372699</v>
      </c>
      <c r="Q24" s="45">
        <f t="shared" si="4"/>
        <v>2.7085041142592612E-2</v>
      </c>
      <c r="R24" s="45">
        <f>G24*H24/(E24*F24+K24*L24+G24*H24+I24*J24+M24*N24)</f>
        <v>7.7485131690739173E-2</v>
      </c>
      <c r="S24" s="46">
        <f t="shared" si="6"/>
        <v>0.22149544756609069</v>
      </c>
      <c r="T24" s="45">
        <f>I24*J24/(E24*F24+K24*L24+G24*H24+I24*J24+M24*N24)</f>
        <v>0.17711696403285188</v>
      </c>
      <c r="U24" s="111">
        <f t="shared" si="18"/>
        <v>0.3454847470188479</v>
      </c>
      <c r="V24" s="45">
        <f>K24*L24/(E24*F24+K24*L24+G24*H24+I24*J24+M24*N24)</f>
        <v>2.172189181534976E-2</v>
      </c>
      <c r="W24" s="46">
        <f t="shared" si="8"/>
        <v>0.29703261786376561</v>
      </c>
      <c r="X24" s="45">
        <f>M24*N24/(E24*F24+K24*L24+G24*H24+I24*J24+M24*N24)</f>
        <v>0.42480883602378927</v>
      </c>
      <c r="Y24" s="46">
        <f>(1.392-1.458)*10^6/($O24+273.15)^2/2.05+$Q24</f>
        <v>7.222677638024682E-3</v>
      </c>
      <c r="Z24" s="102">
        <f t="shared" si="9"/>
        <v>9.2900753596034752E-2</v>
      </c>
      <c r="AA24" s="45">
        <v>0.43</v>
      </c>
      <c r="AB24" s="76">
        <f t="shared" si="12"/>
        <v>0.33709924640396527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</row>
    <row r="25" spans="1:85" s="10" customFormat="1">
      <c r="A25" s="10" t="s">
        <v>187</v>
      </c>
      <c r="B25" s="10" t="s">
        <v>147</v>
      </c>
      <c r="C25" s="54" t="s">
        <v>129</v>
      </c>
      <c r="D25" s="10" t="s">
        <v>148</v>
      </c>
      <c r="E25" s="54">
        <v>6.1</v>
      </c>
      <c r="F25" s="5">
        <f>17.3*40/56</f>
        <v>12.357142857142858</v>
      </c>
      <c r="G25" s="54">
        <v>17.100000000000001</v>
      </c>
      <c r="H25" s="5">
        <f>1.6*40/56</f>
        <v>1.1428571428571428</v>
      </c>
      <c r="I25" s="54">
        <v>11.8</v>
      </c>
      <c r="J25" s="5">
        <f>5.3*40/56</f>
        <v>3.7857142857142856</v>
      </c>
      <c r="K25" s="54">
        <v>59</v>
      </c>
      <c r="L25" s="5">
        <f t="shared" si="21"/>
        <v>9.285714285714286E-2</v>
      </c>
      <c r="M25" s="54">
        <v>6</v>
      </c>
      <c r="N25" s="65">
        <f t="shared" si="22"/>
        <v>17.857142857142858</v>
      </c>
      <c r="O25" s="71">
        <v>1350</v>
      </c>
      <c r="P25" s="5">
        <f>E25*F25/(E25*F25+K25*L25+G25*H25+I25*J25+M25*N25)</f>
        <v>0.2988671764372699</v>
      </c>
      <c r="Q25" s="5">
        <f t="shared" si="4"/>
        <v>1.6663696081640242E-2</v>
      </c>
      <c r="R25" s="5">
        <f>G25*H25/(E25*F25+K25*L25+G25*H25+I25*J25+M25*N25)</f>
        <v>7.7485131690739173E-2</v>
      </c>
      <c r="S25" s="9">
        <f t="shared" si="6"/>
        <v>0.13627200351208024</v>
      </c>
      <c r="T25" s="5">
        <f>I25*J25/(E25*F25+K25*L25+G25*H25+I25*J25+M25*N25)</f>
        <v>0.17711696403285188</v>
      </c>
      <c r="U25" s="111">
        <f t="shared" si="18"/>
        <v>0.21255470113025551</v>
      </c>
      <c r="V25" s="5">
        <f>K25*L25/(E25*F25+K25*L25+G25*H25+I25*J25+M25*N25)</f>
        <v>2.172189181534976E-2</v>
      </c>
      <c r="W25" s="9">
        <f t="shared" si="8"/>
        <v>0.18274520036198799</v>
      </c>
      <c r="X25" s="5">
        <f>M25*N25/(E25*F25+K25*L25+G25*H25+I25*J25+M25*N25)</f>
        <v>0.42480883602378927</v>
      </c>
      <c r="Y25" s="9">
        <f>(1.392-1.458)*10^6/($O25+273.15)^2/2.05+$Q25</f>
        <v>4.4436522884373879E-3</v>
      </c>
      <c r="Z25" s="100">
        <f t="shared" si="9"/>
        <v>5.7155900761961594E-2</v>
      </c>
      <c r="AA25" s="5">
        <v>0.43</v>
      </c>
      <c r="AB25" s="59">
        <f t="shared" si="12"/>
        <v>0.37284409923803841</v>
      </c>
    </row>
    <row r="26" spans="1:85" s="47" customFormat="1" ht="16.2" thickBot="1">
      <c r="A26" s="66" t="s">
        <v>187</v>
      </c>
      <c r="B26" s="66" t="s">
        <v>147</v>
      </c>
      <c r="C26" s="67" t="s">
        <v>129</v>
      </c>
      <c r="D26" s="66" t="s">
        <v>148</v>
      </c>
      <c r="E26" s="67">
        <v>6.1</v>
      </c>
      <c r="F26" s="68">
        <f>17.3*40/56</f>
        <v>12.357142857142858</v>
      </c>
      <c r="G26" s="67">
        <v>17.100000000000001</v>
      </c>
      <c r="H26" s="68">
        <f>1.6*40/56</f>
        <v>1.1428571428571428</v>
      </c>
      <c r="I26" s="67">
        <v>11.8</v>
      </c>
      <c r="J26" s="68">
        <f>5.3*40/56</f>
        <v>3.7857142857142856</v>
      </c>
      <c r="K26" s="67">
        <v>59</v>
      </c>
      <c r="L26" s="68">
        <f t="shared" si="21"/>
        <v>9.285714285714286E-2</v>
      </c>
      <c r="M26" s="67">
        <v>6</v>
      </c>
      <c r="N26" s="69">
        <f t="shared" si="22"/>
        <v>17.857142857142858</v>
      </c>
      <c r="O26" s="74">
        <v>1450</v>
      </c>
      <c r="P26" s="68">
        <f>E26*F26/(E26*F26+K26*L26+G26*H26+I26*J26+M26*N26)</f>
        <v>0.2988671764372699</v>
      </c>
      <c r="Q26" s="68">
        <f t="shared" si="4"/>
        <v>1.4785720068422603E-2</v>
      </c>
      <c r="R26" s="68">
        <f>G26*H26/(E26*F26+K26*L26+G26*H26+I26*J26+M26*N26)</f>
        <v>7.7485131690739173E-2</v>
      </c>
      <c r="S26" s="75">
        <f t="shared" si="6"/>
        <v>0.12091433300398932</v>
      </c>
      <c r="T26" s="68">
        <f>I26*J26/(E26*F26+K26*L26+G26*H26+I26*J26+M26*N26)</f>
        <v>0.17711696403285188</v>
      </c>
      <c r="U26" s="113">
        <f t="shared" si="18"/>
        <v>0.18860007376165722</v>
      </c>
      <c r="V26" s="68">
        <f>K26*L26/(E26*F26+K26*L26+G26*H26+I26*J26+M26*N26)</f>
        <v>2.172189181534976E-2</v>
      </c>
      <c r="W26" s="75">
        <f t="shared" si="8"/>
        <v>0.16215006341703456</v>
      </c>
      <c r="X26" s="68">
        <f>M26*N26/(E26*F26+K26*L26+G26*H26+I26*J26+M26*N26)</f>
        <v>0.42480883602378927</v>
      </c>
      <c r="Y26" s="75">
        <f>(1.392-1.458)*10^6/($O26+273.15)^2/2.05+$Q26</f>
        <v>3.9428586849126826E-3</v>
      </c>
      <c r="Z26" s="103">
        <f t="shared" si="9"/>
        <v>5.0714508040986928E-2</v>
      </c>
      <c r="AA26" s="68">
        <v>0.43</v>
      </c>
      <c r="AB26" s="77">
        <f t="shared" si="12"/>
        <v>0.37928549195901307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</row>
    <row r="27" spans="1:85" s="10" customFormat="1">
      <c r="A27" s="10" t="s">
        <v>184</v>
      </c>
      <c r="C27" s="54"/>
      <c r="E27" s="54"/>
      <c r="F27" s="5"/>
      <c r="G27" s="54"/>
      <c r="H27" s="5"/>
      <c r="I27" s="54"/>
      <c r="J27" s="5"/>
      <c r="K27" s="54"/>
      <c r="L27" s="5"/>
      <c r="M27" s="54"/>
      <c r="N27" s="18"/>
      <c r="O27" s="2"/>
      <c r="P27" s="5"/>
      <c r="Q27" s="5"/>
      <c r="R27" s="5"/>
      <c r="S27" s="9"/>
      <c r="T27" s="5"/>
      <c r="U27" s="9"/>
      <c r="V27" s="5"/>
      <c r="W27" s="9"/>
      <c r="X27" s="5"/>
      <c r="Y27" s="9"/>
      <c r="Z27" s="100"/>
      <c r="AA27" s="5"/>
      <c r="AB27" s="9"/>
    </row>
    <row r="28" spans="1:85" s="10" customFormat="1">
      <c r="C28" s="54"/>
      <c r="E28" s="54"/>
      <c r="F28" s="5"/>
      <c r="G28" s="54"/>
      <c r="H28" s="5"/>
      <c r="I28" s="54"/>
      <c r="J28" s="5"/>
      <c r="K28" s="54"/>
      <c r="L28" s="5"/>
      <c r="M28" s="54"/>
      <c r="N28" s="18"/>
      <c r="O28" s="49"/>
      <c r="P28" s="5"/>
      <c r="Q28" s="22"/>
      <c r="R28" s="5"/>
      <c r="S28" s="9"/>
      <c r="T28" s="5"/>
      <c r="U28" s="9"/>
      <c r="V28" s="5"/>
      <c r="W28" s="9"/>
      <c r="Z28" s="22"/>
      <c r="AA28" s="5"/>
      <c r="AB28" s="50"/>
    </row>
    <row r="29" spans="1:85" s="144" customFormat="1" ht="13.8">
      <c r="A29" s="142" t="s">
        <v>196</v>
      </c>
    </row>
    <row r="30" spans="1:85" s="144" customFormat="1" ht="13.8">
      <c r="A30" s="142" t="s">
        <v>193</v>
      </c>
    </row>
    <row r="31" spans="1:85" s="144" customFormat="1" ht="13.8">
      <c r="A31" s="143" t="s">
        <v>192</v>
      </c>
    </row>
  </sheetData>
  <mergeCells count="2">
    <mergeCell ref="A10:N10"/>
    <mergeCell ref="O10:AB1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S-1</vt:lpstr>
      <vt:lpstr>Table S-5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 sun</dc:creator>
  <cp:lastModifiedBy>Alice Williams</cp:lastModifiedBy>
  <dcterms:created xsi:type="dcterms:W3CDTF">2020-06-04T07:44:30Z</dcterms:created>
  <dcterms:modified xsi:type="dcterms:W3CDTF">2021-02-17T11:28:48Z</dcterms:modified>
</cp:coreProperties>
</file>